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bagshaws.sharepoint.com/sites/Ashbourne/Shared/Planning/Planning 2025/Watts - Thurgiland - DEB/"/>
    </mc:Choice>
  </mc:AlternateContent>
  <xr:revisionPtr revIDLastSave="0" documentId="8_{C0B15159-C85C-45C3-8F33-B103BDACCF7B}" xr6:coauthVersionLast="47" xr6:coauthVersionMax="47" xr10:uidLastSave="{00000000-0000-0000-0000-000000000000}"/>
  <workbookProtection workbookAlgorithmName="SHA-512" workbookHashValue="ggGWXxTTTq7A5ssv3Cm/VyzsuEdg0JCJjt1qvBA9IrZy2p7vDWp2wTbnxsG6MdarW2opkVpJo9O7b+RQAL258A==" workbookSaltValue="Fux5GNZMdAww6cRmiVOeyg==" workbookSpinCount="100000" lockStructure="1"/>
  <bookViews>
    <workbookView xWindow="-108" yWindow="-108" windowWidth="23256" windowHeight="12456" tabRatio="730" xr2:uid="{29E6C19A-7B8C-4DEC-93E8-BE5BF8A93D58}"/>
  </bookViews>
  <sheets>
    <sheet name="1. Introduction" sheetId="14" r:id="rId1"/>
    <sheet name="2. Site Details" sheetId="15" r:id="rId2"/>
    <sheet name="3. Desktop Assessment" sheetId="10" r:id="rId3"/>
    <sheet name="4. Supporting Information" sheetId="18" r:id="rId4"/>
    <sheet name="5. Area Habitats" sheetId="1" r:id="rId5"/>
    <sheet name="6. Hedges &amp; Lines of Trees" sheetId="21" r:id="rId6"/>
    <sheet name="7. Watercourses" sheetId="22" r:id="rId7"/>
    <sheet name="8. Headline Results" sheetId="11" r:id="rId8"/>
    <sheet name="9. All Habitats + Multipliers" sheetId="12" r:id="rId9"/>
    <sheet name="10. Condition and Temporal" sheetId="20" r:id="rId10"/>
    <sheet name="11. Lists" sheetId="4" r:id="rId11"/>
    <sheet name="12. Version history" sheetId="23" r:id="rId12"/>
    <sheet name="13. Habitats Translation" sheetId="19" state="hidden" r:id="rId13"/>
  </sheets>
  <externalReferences>
    <externalReference r:id="rId14"/>
  </externalReferences>
  <definedNames>
    <definedName name="_xlnm._FilterDatabase" localSheetId="9" hidden="1">'10. Condition and Temporal'!$C$4:$M$85</definedName>
    <definedName name="_xlnm._FilterDatabase" localSheetId="12" hidden="1">'13. Habitats Translation'!$B$2:$F$83</definedName>
    <definedName name="_xlnm._FilterDatabase" localSheetId="8" hidden="1">'9. All Habitats + Multipliers'!$C$3:$J$91</definedName>
    <definedName name="CoastalSaltmarsh" localSheetId="5">Table15[Coastalsaltmarsh]</definedName>
    <definedName name="CoastalSaltmarsh" localSheetId="6">Table15[Coastalsaltmarsh]</definedName>
    <definedName name="CoastalSaltmarsh">Table15[Coastalsaltmarsh]</definedName>
    <definedName name="Cropland" localSheetId="5">Table2[Cropland]</definedName>
    <definedName name="Cropland" localSheetId="6">Table2[Cropland]</definedName>
    <definedName name="Cropland">Table2[Cropland]</definedName>
    <definedName name="Grassland" localSheetId="5">Table3[Grassland]</definedName>
    <definedName name="Grassland" localSheetId="6">Table3[Grassland]</definedName>
    <definedName name="Grassland">Table3[Grassland]</definedName>
    <definedName name="Heathlandandshrub" localSheetId="5">Table4[Heathlandandshrub]</definedName>
    <definedName name="Heathlandandshrub" localSheetId="6">Table4[Heathlandandshrub]</definedName>
    <definedName name="Heathlandandshrub">Table4[Heathlandandshrub]</definedName>
    <definedName name="Hedgerow">Table11[HedgerowsandLinesoftrees]</definedName>
    <definedName name="HedgerowsandLinesofTrees">Table11[HedgerowsandLinesoftrees]</definedName>
    <definedName name="Intertidalhardstructures" localSheetId="5">Table5[Intertidalhardstructures]</definedName>
    <definedName name="Intertidalhardstructures" localSheetId="6">Table5[Intertidalhardstructures]</definedName>
    <definedName name="Intertidalhardstructures">Table5[Intertidalhardstructures]</definedName>
    <definedName name="Intertidalsediment" localSheetId="5">Table6[Intertidalsediment]</definedName>
    <definedName name="Intertidalsediment" localSheetId="6">Table6[Intertidalsediment]</definedName>
    <definedName name="Intertidalsediment">Table6[Intertidalsediment]</definedName>
    <definedName name="Lakes" localSheetId="5">Table7[Lakes]</definedName>
    <definedName name="Lakes" localSheetId="6">Table7[Lakes]</definedName>
    <definedName name="Lakes">Table7[Lakes]</definedName>
    <definedName name="Lineoftrees" localSheetId="5">Table12[Lineoftrees]</definedName>
    <definedName name="Lineoftrees" localSheetId="6">Table12[Lineoftrees]</definedName>
    <definedName name="Lineoftrees">Table12[Lineoftrees]</definedName>
    <definedName name="_xlnm.Print_Area" localSheetId="0">'1. Introduction'!$B$1:$S$36</definedName>
    <definedName name="_xlnm.Print_Area" localSheetId="1">'2. Site Details'!$B$2:$D$23</definedName>
    <definedName name="_xlnm.Print_Area" localSheetId="2">'3. Desktop Assessment'!$B$2:$D$23</definedName>
    <definedName name="_xlnm.Print_Area" localSheetId="3">'4. Supporting Information'!$B$2:$E$47</definedName>
    <definedName name="_xlnm.Print_Area" localSheetId="4">'5. Area Habitats'!$A$2:$Q$140</definedName>
    <definedName name="_xlnm.Print_Area" localSheetId="5">'6. Hedges &amp; Lines of Trees'!$A$1:$Q$100</definedName>
    <definedName name="_xlnm.Print_Area" localSheetId="6">'7. Watercourses'!$A$1:$Q$100</definedName>
    <definedName name="_xlnm.Print_Area" localSheetId="7">'8. Headline Results'!$B$2:$D$49</definedName>
    <definedName name="Rivers" localSheetId="5">Table13[Watercourses]</definedName>
    <definedName name="Rivers" localSheetId="6">Table13[Watercourses]</definedName>
    <definedName name="Rivers">Table13[Watercourses]</definedName>
    <definedName name="Sparselyvegetatedland" localSheetId="5">Table8[Sparselyvegetatedland]</definedName>
    <definedName name="Sparselyvegetatedland" localSheetId="6">Table8[Sparselyvegetatedland]</definedName>
    <definedName name="Sparselyvegetatedland">Table8[Sparselyvegetatedland]</definedName>
    <definedName name="TemporalConditions">'[1]G-4 Temporal multipliers'!$F$3:$M$3</definedName>
    <definedName name="TemporalData">'[1]G-4 Temporal multipliers'!$F$3:$M$138</definedName>
    <definedName name="TemporalHabitats">'[1]G-4 Temporal multipliers'!$F$3:$F$138</definedName>
    <definedName name="Urban" localSheetId="5">Table9[Urban]</definedName>
    <definedName name="Urban" localSheetId="6">Table9[Urban]</definedName>
    <definedName name="Urban">Table9[Urban]</definedName>
    <definedName name="Watercourses">'11. Lists'!$Y$2:$Y$4</definedName>
    <definedName name="Woodlandandforest" localSheetId="5">Table10[Woodlandandforest]</definedName>
    <definedName name="Woodlandandforest" localSheetId="6">Table10[Woodlandandforest]</definedName>
    <definedName name="Woodlandandforest">Table10[Woodlandandforest]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2" i="22" l="1"/>
  <c r="AE13" i="22"/>
  <c r="AE14" i="22"/>
  <c r="AE15" i="22"/>
  <c r="AE16" i="22"/>
  <c r="AE17" i="22"/>
  <c r="AE18" i="22"/>
  <c r="AE19" i="22"/>
  <c r="AE20" i="22"/>
  <c r="AE21" i="22"/>
  <c r="AE22" i="22"/>
  <c r="AE23" i="22"/>
  <c r="AE24" i="22"/>
  <c r="AE25" i="22"/>
  <c r="AE26" i="22"/>
  <c r="AE27" i="22"/>
  <c r="AE28" i="22"/>
  <c r="AE29" i="22"/>
  <c r="AE30" i="22"/>
  <c r="AE11" i="22"/>
  <c r="D16" i="10"/>
  <c r="E18" i="15"/>
  <c r="E19" i="15"/>
  <c r="E17" i="15"/>
  <c r="E14" i="15"/>
  <c r="E15" i="15"/>
  <c r="E13" i="15"/>
  <c r="I61" i="1"/>
  <c r="K32" i="1"/>
  <c r="J32" i="1"/>
  <c r="I32" i="1"/>
  <c r="I33" i="1" s="1"/>
  <c r="I33" i="22"/>
  <c r="I32" i="22"/>
  <c r="AS67" i="22"/>
  <c r="AT67" i="22" s="1"/>
  <c r="AS68" i="22"/>
  <c r="AT68" i="22" s="1"/>
  <c r="AS69" i="22"/>
  <c r="AT69" i="22" s="1"/>
  <c r="AS70" i="22"/>
  <c r="AT70" i="22" s="1"/>
  <c r="AS71" i="22"/>
  <c r="AT71" i="22" s="1"/>
  <c r="AS72" i="22"/>
  <c r="AT72" i="22" s="1"/>
  <c r="AS73" i="22"/>
  <c r="AT73" i="22" s="1"/>
  <c r="AS74" i="22"/>
  <c r="AT74" i="22" s="1"/>
  <c r="AS75" i="22"/>
  <c r="AT75" i="22" s="1"/>
  <c r="AS76" i="22"/>
  <c r="AT76" i="22" s="1"/>
  <c r="AS77" i="22"/>
  <c r="AT77" i="22" s="1"/>
  <c r="AS78" i="22"/>
  <c r="AT78" i="22" s="1"/>
  <c r="AS79" i="22"/>
  <c r="AT79" i="22" s="1"/>
  <c r="AS80" i="22"/>
  <c r="AT80" i="22" s="1"/>
  <c r="AS81" i="22"/>
  <c r="AT81" i="22" s="1"/>
  <c r="AS82" i="22"/>
  <c r="AT82" i="22" s="1"/>
  <c r="AS83" i="22"/>
  <c r="AT83" i="22" s="1"/>
  <c r="AS84" i="22"/>
  <c r="AT84" i="22" s="1"/>
  <c r="AS85" i="22"/>
  <c r="AT85" i="22" s="1"/>
  <c r="AQ67" i="22"/>
  <c r="AR67" i="22" s="1"/>
  <c r="AQ68" i="22"/>
  <c r="AR68" i="22" s="1"/>
  <c r="AQ69" i="22"/>
  <c r="AR69" i="22" s="1"/>
  <c r="AQ70" i="22"/>
  <c r="AR70" i="22" s="1"/>
  <c r="AQ71" i="22"/>
  <c r="AR71" i="22" s="1"/>
  <c r="AQ72" i="22"/>
  <c r="AR72" i="22" s="1"/>
  <c r="AQ73" i="22"/>
  <c r="AR73" i="22" s="1"/>
  <c r="AQ74" i="22"/>
  <c r="AR74" i="22" s="1"/>
  <c r="AQ75" i="22"/>
  <c r="AR75" i="22" s="1"/>
  <c r="AQ76" i="22"/>
  <c r="AR76" i="22" s="1"/>
  <c r="AQ77" i="22"/>
  <c r="AR77" i="22" s="1"/>
  <c r="AQ78" i="22"/>
  <c r="AR78" i="22" s="1"/>
  <c r="AQ79" i="22"/>
  <c r="AR79" i="22" s="1"/>
  <c r="AQ80" i="22"/>
  <c r="AR80" i="22" s="1"/>
  <c r="AQ81" i="22"/>
  <c r="AR81" i="22" s="1"/>
  <c r="AQ82" i="22"/>
  <c r="AR82" i="22" s="1"/>
  <c r="AQ83" i="22"/>
  <c r="AR83" i="22" s="1"/>
  <c r="AQ84" i="22"/>
  <c r="AR84" i="22" s="1"/>
  <c r="AQ85" i="22"/>
  <c r="AR85" i="22" s="1"/>
  <c r="AS67" i="21"/>
  <c r="AT67" i="21" s="1"/>
  <c r="AS68" i="21"/>
  <c r="AT68" i="21" s="1"/>
  <c r="AS69" i="21"/>
  <c r="AT69" i="21" s="1"/>
  <c r="AS70" i="21"/>
  <c r="AT70" i="21" s="1"/>
  <c r="AS71" i="21"/>
  <c r="AT71" i="21" s="1"/>
  <c r="AS72" i="21"/>
  <c r="AT72" i="21" s="1"/>
  <c r="AS73" i="21"/>
  <c r="AT73" i="21" s="1"/>
  <c r="AS74" i="21"/>
  <c r="AT74" i="21" s="1"/>
  <c r="AS75" i="21"/>
  <c r="AT75" i="21" s="1"/>
  <c r="AS76" i="21"/>
  <c r="AT76" i="21" s="1"/>
  <c r="AS77" i="21"/>
  <c r="AT77" i="21" s="1"/>
  <c r="AS78" i="21"/>
  <c r="AT78" i="21" s="1"/>
  <c r="AS79" i="21"/>
  <c r="AT79" i="21" s="1"/>
  <c r="AS80" i="21"/>
  <c r="AT80" i="21" s="1"/>
  <c r="AS81" i="21"/>
  <c r="AT81" i="21" s="1"/>
  <c r="AS82" i="21"/>
  <c r="AT82" i="21" s="1"/>
  <c r="AS83" i="21"/>
  <c r="AT83" i="21" s="1"/>
  <c r="AS84" i="21"/>
  <c r="AT84" i="21" s="1"/>
  <c r="AS85" i="21"/>
  <c r="AT85" i="21" s="1"/>
  <c r="AQ67" i="21"/>
  <c r="AR67" i="21" s="1"/>
  <c r="AQ68" i="21"/>
  <c r="AR68" i="21" s="1"/>
  <c r="AQ69" i="21"/>
  <c r="AR69" i="21" s="1"/>
  <c r="AQ70" i="21"/>
  <c r="AR70" i="21" s="1"/>
  <c r="AQ71" i="21"/>
  <c r="AR71" i="21" s="1"/>
  <c r="AQ72" i="21"/>
  <c r="AR72" i="21" s="1"/>
  <c r="AQ73" i="21"/>
  <c r="AR73" i="21" s="1"/>
  <c r="AQ74" i="21"/>
  <c r="AR74" i="21" s="1"/>
  <c r="AQ75" i="21"/>
  <c r="AR75" i="21" s="1"/>
  <c r="AQ76" i="21"/>
  <c r="AR76" i="21" s="1"/>
  <c r="AQ77" i="21"/>
  <c r="AR77" i="21" s="1"/>
  <c r="AQ78" i="21"/>
  <c r="AR78" i="21" s="1"/>
  <c r="AQ79" i="21"/>
  <c r="AR79" i="21" s="1"/>
  <c r="AQ80" i="21"/>
  <c r="AR80" i="21" s="1"/>
  <c r="AQ81" i="21"/>
  <c r="AR81" i="21" s="1"/>
  <c r="AQ82" i="21"/>
  <c r="AR82" i="21" s="1"/>
  <c r="AQ83" i="21"/>
  <c r="AR83" i="21" s="1"/>
  <c r="AQ84" i="21"/>
  <c r="AR84" i="21" s="1"/>
  <c r="AQ85" i="21"/>
  <c r="AR85" i="21" s="1"/>
  <c r="AS73" i="1"/>
  <c r="AT73" i="1" s="1"/>
  <c r="AS74" i="1"/>
  <c r="AT74" i="1" s="1"/>
  <c r="AS75" i="1"/>
  <c r="AT75" i="1" s="1"/>
  <c r="AS76" i="1"/>
  <c r="AT76" i="1" s="1"/>
  <c r="AS77" i="1"/>
  <c r="AT77" i="1" s="1"/>
  <c r="AS78" i="1"/>
  <c r="AT78" i="1" s="1"/>
  <c r="AS79" i="1"/>
  <c r="AT79" i="1" s="1"/>
  <c r="AS80" i="1"/>
  <c r="AT80" i="1" s="1"/>
  <c r="AS81" i="1"/>
  <c r="AT81" i="1" s="1"/>
  <c r="AS82" i="1"/>
  <c r="AT82" i="1" s="1"/>
  <c r="AS83" i="1"/>
  <c r="AT83" i="1" s="1"/>
  <c r="AS84" i="1"/>
  <c r="AT84" i="1" s="1"/>
  <c r="AS85" i="1"/>
  <c r="AT85" i="1" s="1"/>
  <c r="AS86" i="1"/>
  <c r="AT86" i="1" s="1"/>
  <c r="AS87" i="1"/>
  <c r="AT87" i="1" s="1"/>
  <c r="AQ73" i="1"/>
  <c r="AR73" i="1" s="1"/>
  <c r="AQ74" i="1"/>
  <c r="AR74" i="1" s="1"/>
  <c r="AQ75" i="1"/>
  <c r="AR75" i="1" s="1"/>
  <c r="AQ76" i="1"/>
  <c r="AR76" i="1" s="1"/>
  <c r="AQ77" i="1"/>
  <c r="AR77" i="1" s="1"/>
  <c r="AQ78" i="1"/>
  <c r="AR78" i="1" s="1"/>
  <c r="AQ79" i="1"/>
  <c r="AR79" i="1" s="1"/>
  <c r="AQ80" i="1"/>
  <c r="AR80" i="1" s="1"/>
  <c r="AQ81" i="1"/>
  <c r="AR81" i="1" s="1"/>
  <c r="AQ82" i="1"/>
  <c r="AR82" i="1" s="1"/>
  <c r="AQ83" i="1"/>
  <c r="AR83" i="1" s="1"/>
  <c r="AQ84" i="1"/>
  <c r="AR84" i="1" s="1"/>
  <c r="AQ85" i="1"/>
  <c r="AR85" i="1" s="1"/>
  <c r="AQ86" i="1"/>
  <c r="AR86" i="1" s="1"/>
  <c r="AQ87" i="1"/>
  <c r="AR87" i="1" s="1"/>
  <c r="L67" i="22"/>
  <c r="L68" i="22"/>
  <c r="L69" i="22"/>
  <c r="L70" i="22"/>
  <c r="L71" i="22"/>
  <c r="L72" i="22"/>
  <c r="L73" i="22"/>
  <c r="L74" i="22"/>
  <c r="L75" i="22"/>
  <c r="L76" i="22"/>
  <c r="L77" i="22"/>
  <c r="L78" i="22"/>
  <c r="L79" i="22"/>
  <c r="L80" i="22"/>
  <c r="L81" i="22"/>
  <c r="L82" i="22"/>
  <c r="L83" i="22"/>
  <c r="L84" i="22"/>
  <c r="L85" i="22"/>
  <c r="AF12" i="22"/>
  <c r="AF13" i="22"/>
  <c r="AF14" i="22"/>
  <c r="AF15" i="22"/>
  <c r="AF16" i="22"/>
  <c r="AF17" i="22"/>
  <c r="AF18" i="22"/>
  <c r="AF19" i="22"/>
  <c r="AF20" i="22"/>
  <c r="AF21" i="22"/>
  <c r="AF22" i="22"/>
  <c r="AF23" i="22"/>
  <c r="AF24" i="22"/>
  <c r="AF25" i="22"/>
  <c r="AF26" i="22"/>
  <c r="AF27" i="22"/>
  <c r="AF28" i="22"/>
  <c r="AF29" i="22"/>
  <c r="AF30" i="22"/>
  <c r="AY66" i="22" a="1"/>
  <c r="AY66" i="22" s="1"/>
  <c r="AJ11" i="22" a="1"/>
  <c r="AJ11" i="22" s="1"/>
  <c r="L40" i="22"/>
  <c r="L41" i="22"/>
  <c r="L42" i="22"/>
  <c r="L43" i="22"/>
  <c r="L44" i="22"/>
  <c r="L45" i="22"/>
  <c r="L46" i="22"/>
  <c r="L47" i="22"/>
  <c r="L48" i="22"/>
  <c r="L49" i="22"/>
  <c r="L50" i="22"/>
  <c r="L51" i="22"/>
  <c r="L52" i="22"/>
  <c r="L53" i="22"/>
  <c r="L54" i="22"/>
  <c r="L55" i="22"/>
  <c r="L56" i="22"/>
  <c r="L57" i="22"/>
  <c r="L58" i="22"/>
  <c r="AI39" i="22" a="1"/>
  <c r="AI39" i="22" s="1"/>
  <c r="L39" i="22" s="1"/>
  <c r="L12" i="22"/>
  <c r="L13" i="22"/>
  <c r="L14" i="22"/>
  <c r="L15" i="22"/>
  <c r="L16" i="22"/>
  <c r="L17" i="22"/>
  <c r="L18" i="22"/>
  <c r="L19" i="22"/>
  <c r="L20" i="22"/>
  <c r="L21" i="22"/>
  <c r="L22" i="22"/>
  <c r="L23" i="22"/>
  <c r="L24" i="22"/>
  <c r="L25" i="22"/>
  <c r="L26" i="22"/>
  <c r="L27" i="22"/>
  <c r="L28" i="22"/>
  <c r="L29" i="22"/>
  <c r="L30" i="22"/>
  <c r="AR14" i="22"/>
  <c r="AR15" i="22"/>
  <c r="AR16" i="22"/>
  <c r="AR17" i="22"/>
  <c r="AR18" i="22"/>
  <c r="AR19" i="22"/>
  <c r="AR20" i="22"/>
  <c r="AR21" i="22"/>
  <c r="AR22" i="22"/>
  <c r="AR23" i="22"/>
  <c r="AR24" i="22"/>
  <c r="AR25" i="22"/>
  <c r="AR26" i="22"/>
  <c r="AR27" i="22"/>
  <c r="AR28" i="22"/>
  <c r="AR29" i="22"/>
  <c r="AY88" i="1"/>
  <c r="AB11" i="22" l="1"/>
  <c r="E100" i="1" l="1"/>
  <c r="G99" i="1"/>
  <c r="O98" i="1"/>
  <c r="O97" i="1"/>
  <c r="O96" i="1"/>
  <c r="O95" i="1"/>
  <c r="L98" i="1"/>
  <c r="L97" i="1"/>
  <c r="L96" i="1"/>
  <c r="L95" i="1"/>
  <c r="E99" i="1"/>
  <c r="D99" i="1"/>
  <c r="I98" i="1"/>
  <c r="P50" i="4"/>
  <c r="E6" i="10"/>
  <c r="D6" i="10"/>
  <c r="D7" i="10" s="1"/>
  <c r="B9" i="10"/>
  <c r="D9" i="10" s="1"/>
  <c r="O99" i="1" l="1"/>
  <c r="I60" i="1" s="1"/>
  <c r="I63" i="1" s="1"/>
  <c r="J67" i="21"/>
  <c r="J68" i="21"/>
  <c r="J69" i="21"/>
  <c r="J70" i="21"/>
  <c r="J71" i="21"/>
  <c r="J72" i="21"/>
  <c r="J73" i="21"/>
  <c r="J74" i="21"/>
  <c r="J75" i="21"/>
  <c r="J76" i="21"/>
  <c r="J77" i="21"/>
  <c r="J78" i="21"/>
  <c r="J79" i="21"/>
  <c r="J80" i="21"/>
  <c r="J81" i="21"/>
  <c r="J82" i="21"/>
  <c r="J83" i="21"/>
  <c r="J84" i="21"/>
  <c r="J85" i="21"/>
  <c r="J66" i="21"/>
  <c r="L14" i="1" l="1"/>
  <c r="L15" i="1"/>
  <c r="L17" i="1"/>
  <c r="L19" i="1"/>
  <c r="L21" i="1"/>
  <c r="L22" i="1"/>
  <c r="L24" i="1"/>
  <c r="L25" i="1"/>
  <c r="L26" i="1"/>
  <c r="L27" i="1"/>
  <c r="L30" i="1"/>
  <c r="J69" i="1"/>
  <c r="J70" i="1"/>
  <c r="J71" i="1"/>
  <c r="J72" i="1"/>
  <c r="J73" i="1"/>
  <c r="J74" i="1"/>
  <c r="J75" i="1"/>
  <c r="J76" i="1"/>
  <c r="J77" i="1"/>
  <c r="J78" i="1"/>
  <c r="J79" i="1"/>
  <c r="J80" i="1"/>
  <c r="J81" i="1"/>
  <c r="J82" i="1"/>
  <c r="J83" i="1"/>
  <c r="J84" i="1"/>
  <c r="J85" i="1"/>
  <c r="J86" i="1"/>
  <c r="J87" i="1"/>
  <c r="J68" i="1"/>
  <c r="B8" i="10"/>
  <c r="D20" i="10"/>
  <c r="L40" i="21" l="1"/>
  <c r="L41" i="21"/>
  <c r="L42" i="21"/>
  <c r="L43" i="21"/>
  <c r="L44" i="21"/>
  <c r="L45" i="21"/>
  <c r="L46" i="21"/>
  <c r="L47" i="21"/>
  <c r="L48" i="21"/>
  <c r="L49" i="21"/>
  <c r="L50" i="21"/>
  <c r="L51" i="21"/>
  <c r="L52" i="21"/>
  <c r="L53" i="21"/>
  <c r="L54" i="21"/>
  <c r="L55" i="21"/>
  <c r="L56" i="21"/>
  <c r="L57" i="21"/>
  <c r="L58" i="21"/>
  <c r="L13" i="21"/>
  <c r="L14" i="21"/>
  <c r="L15" i="21"/>
  <c r="L16" i="21"/>
  <c r="L17" i="21"/>
  <c r="E106" i="21" s="1"/>
  <c r="L18" i="21"/>
  <c r="L19" i="21"/>
  <c r="E107" i="21" s="1"/>
  <c r="L20" i="21"/>
  <c r="L21" i="21"/>
  <c r="L22" i="21"/>
  <c r="L23" i="21"/>
  <c r="L24" i="21"/>
  <c r="L25" i="21"/>
  <c r="L26" i="21"/>
  <c r="L27" i="21"/>
  <c r="L28" i="21"/>
  <c r="L29" i="21"/>
  <c r="L30" i="21"/>
  <c r="L43" i="1"/>
  <c r="L44" i="1"/>
  <c r="L45" i="1"/>
  <c r="L46" i="1"/>
  <c r="L47" i="1"/>
  <c r="L48" i="1"/>
  <c r="L49" i="1"/>
  <c r="L51" i="1"/>
  <c r="L53" i="1"/>
  <c r="L54" i="1"/>
  <c r="L55" i="1"/>
  <c r="L56" i="1"/>
  <c r="L57" i="1"/>
  <c r="L58" i="1"/>
  <c r="E111" i="21" l="1"/>
  <c r="T40" i="21"/>
  <c r="T41" i="21"/>
  <c r="T42" i="21"/>
  <c r="T43" i="21"/>
  <c r="T44" i="21"/>
  <c r="T45" i="21"/>
  <c r="T46" i="21"/>
  <c r="T47" i="21"/>
  <c r="T48" i="21"/>
  <c r="T49" i="21"/>
  <c r="T50" i="21"/>
  <c r="T51" i="21"/>
  <c r="T52" i="21"/>
  <c r="T53" i="21"/>
  <c r="T54" i="21"/>
  <c r="T55" i="21"/>
  <c r="T56" i="21"/>
  <c r="T57" i="21"/>
  <c r="T58" i="21"/>
  <c r="T39" i="21"/>
  <c r="W30" i="21"/>
  <c r="W12" i="21"/>
  <c r="W13" i="21"/>
  <c r="W14" i="21"/>
  <c r="W15" i="21"/>
  <c r="W16" i="21"/>
  <c r="W17" i="21"/>
  <c r="W18" i="21"/>
  <c r="W19" i="21"/>
  <c r="W20" i="21"/>
  <c r="W21" i="21"/>
  <c r="W22" i="21"/>
  <c r="W23" i="21"/>
  <c r="W24" i="21"/>
  <c r="W25" i="21"/>
  <c r="W26" i="21"/>
  <c r="W27" i="21"/>
  <c r="W28" i="21"/>
  <c r="W29" i="21"/>
  <c r="W11" i="21"/>
  <c r="T12" i="21"/>
  <c r="T13" i="21"/>
  <c r="T14" i="21"/>
  <c r="T15" i="21"/>
  <c r="T16" i="21"/>
  <c r="T17" i="21"/>
  <c r="T18" i="21"/>
  <c r="T19" i="21"/>
  <c r="T20" i="21"/>
  <c r="T21" i="21"/>
  <c r="T22" i="21"/>
  <c r="T23" i="21"/>
  <c r="T24" i="21"/>
  <c r="T25" i="21"/>
  <c r="T26" i="21"/>
  <c r="T27" i="21"/>
  <c r="T28" i="21"/>
  <c r="T29" i="21"/>
  <c r="T30" i="21"/>
  <c r="T11" i="21"/>
  <c r="I35" i="1" l="1"/>
  <c r="J88" i="1"/>
  <c r="F133" i="1" l="1"/>
  <c r="F132" i="1"/>
  <c r="T31" i="1"/>
  <c r="F134" i="1" s="1"/>
  <c r="B55" i="12"/>
  <c r="B54" i="12"/>
  <c r="I67" i="22"/>
  <c r="I68" i="22"/>
  <c r="I69" i="22"/>
  <c r="I70" i="22"/>
  <c r="I71" i="22"/>
  <c r="I72" i="22"/>
  <c r="I73" i="22"/>
  <c r="I74" i="22"/>
  <c r="I75" i="22"/>
  <c r="I76" i="22"/>
  <c r="I77" i="22"/>
  <c r="I78" i="22"/>
  <c r="I79" i="22"/>
  <c r="I80" i="22"/>
  <c r="I81" i="22"/>
  <c r="I82" i="22"/>
  <c r="I83" i="22"/>
  <c r="I84" i="22"/>
  <c r="I85" i="22"/>
  <c r="I66" i="22"/>
  <c r="D67" i="22"/>
  <c r="D68" i="22"/>
  <c r="D69" i="22"/>
  <c r="D70" i="22"/>
  <c r="D71" i="22"/>
  <c r="D72" i="22"/>
  <c r="D73" i="22"/>
  <c r="D74" i="22"/>
  <c r="D75" i="22"/>
  <c r="D76" i="22"/>
  <c r="D77" i="22"/>
  <c r="D78" i="22"/>
  <c r="D79" i="22"/>
  <c r="D80" i="22"/>
  <c r="D81" i="22"/>
  <c r="D82" i="22"/>
  <c r="D83" i="22"/>
  <c r="D84" i="22"/>
  <c r="D85" i="22"/>
  <c r="D66" i="22"/>
  <c r="I67" i="21"/>
  <c r="I68" i="21"/>
  <c r="I69" i="21"/>
  <c r="I70" i="21"/>
  <c r="I71" i="21"/>
  <c r="I72" i="21"/>
  <c r="I73" i="21"/>
  <c r="I74" i="21"/>
  <c r="I75" i="21"/>
  <c r="I76" i="21"/>
  <c r="I77" i="21"/>
  <c r="I78" i="21"/>
  <c r="I79" i="21"/>
  <c r="I80" i="21"/>
  <c r="I81" i="21"/>
  <c r="I82" i="21"/>
  <c r="I83" i="21"/>
  <c r="I84" i="21"/>
  <c r="I85" i="21"/>
  <c r="I66" i="21"/>
  <c r="D67" i="21"/>
  <c r="D68" i="21"/>
  <c r="D69" i="21"/>
  <c r="D70" i="21"/>
  <c r="D71" i="21"/>
  <c r="D72" i="21"/>
  <c r="D73" i="21"/>
  <c r="D74" i="21"/>
  <c r="D75" i="21"/>
  <c r="D76" i="21"/>
  <c r="D77" i="21"/>
  <c r="D78" i="21"/>
  <c r="D79" i="21"/>
  <c r="D80" i="21"/>
  <c r="D81" i="21"/>
  <c r="D82" i="21"/>
  <c r="D83" i="21"/>
  <c r="D84" i="21"/>
  <c r="D85" i="21"/>
  <c r="D66" i="21"/>
  <c r="I69" i="1"/>
  <c r="I70" i="1"/>
  <c r="I71" i="1"/>
  <c r="I72" i="1"/>
  <c r="I73" i="1"/>
  <c r="I74" i="1"/>
  <c r="I75" i="1"/>
  <c r="I76" i="1"/>
  <c r="I77" i="1"/>
  <c r="I78" i="1"/>
  <c r="I79" i="1"/>
  <c r="I80" i="1"/>
  <c r="I81" i="1"/>
  <c r="I82" i="1"/>
  <c r="I83" i="1"/>
  <c r="I84" i="1"/>
  <c r="I85" i="1"/>
  <c r="I86" i="1"/>
  <c r="I87" i="1"/>
  <c r="D69" i="1"/>
  <c r="D70" i="1"/>
  <c r="D71" i="1"/>
  <c r="D72" i="1"/>
  <c r="D73" i="1"/>
  <c r="D74" i="1"/>
  <c r="D75" i="1"/>
  <c r="D76" i="1"/>
  <c r="D77" i="1"/>
  <c r="D78" i="1"/>
  <c r="D79" i="1"/>
  <c r="D80" i="1"/>
  <c r="D81" i="1"/>
  <c r="D82" i="1"/>
  <c r="D83" i="1"/>
  <c r="D84" i="1"/>
  <c r="D85" i="1"/>
  <c r="D86" i="1"/>
  <c r="D87" i="1"/>
  <c r="I68" i="1"/>
  <c r="D68" i="1"/>
  <c r="I89" i="1" l="1"/>
  <c r="I133" i="1"/>
  <c r="J133" i="1" s="1"/>
  <c r="L66" i="22"/>
  <c r="AQ66" i="22"/>
  <c r="AR66" i="22" s="1"/>
  <c r="AS66" i="22"/>
  <c r="AT66" i="22" s="1"/>
  <c r="AQ72" i="1"/>
  <c r="AR72" i="1" s="1"/>
  <c r="AS72" i="1"/>
  <c r="AT72" i="1" s="1"/>
  <c r="AG66" i="21"/>
  <c r="AH66" i="21" s="1"/>
  <c r="D12" i="10"/>
  <c r="D11" i="10"/>
  <c r="E40" i="1" l="1"/>
  <c r="U68" i="22"/>
  <c r="U72" i="22"/>
  <c r="U76" i="22"/>
  <c r="U80" i="22"/>
  <c r="U84" i="22"/>
  <c r="T12" i="22"/>
  <c r="T13" i="22"/>
  <c r="T14" i="22"/>
  <c r="T15" i="22"/>
  <c r="T16" i="22"/>
  <c r="T17" i="22"/>
  <c r="T18" i="22"/>
  <c r="T19" i="22"/>
  <c r="U74" i="22" s="1"/>
  <c r="T20" i="22"/>
  <c r="T21" i="22"/>
  <c r="T22" i="22"/>
  <c r="T23" i="22"/>
  <c r="T24" i="22"/>
  <c r="T25" i="22"/>
  <c r="T26" i="22"/>
  <c r="T27" i="22"/>
  <c r="U82" i="22" s="1"/>
  <c r="T28" i="22"/>
  <c r="T29" i="22"/>
  <c r="T30" i="22"/>
  <c r="T40" i="22"/>
  <c r="V40" i="22" s="1"/>
  <c r="T41" i="22"/>
  <c r="V41" i="22" s="1"/>
  <c r="T42" i="22"/>
  <c r="V42" i="22" s="1"/>
  <c r="T43" i="22"/>
  <c r="V43" i="22" s="1"/>
  <c r="T44" i="22"/>
  <c r="V44" i="22" s="1"/>
  <c r="T45" i="22"/>
  <c r="V45" i="22" s="1"/>
  <c r="T46" i="22"/>
  <c r="V46" i="22" s="1"/>
  <c r="T47" i="22"/>
  <c r="V47" i="22" s="1"/>
  <c r="T48" i="22"/>
  <c r="V48" i="22" s="1"/>
  <c r="T49" i="22"/>
  <c r="V49" i="22" s="1"/>
  <c r="T50" i="22"/>
  <c r="V50" i="22" s="1"/>
  <c r="T51" i="22"/>
  <c r="V51" i="22" s="1"/>
  <c r="T52" i="22"/>
  <c r="V52" i="22" s="1"/>
  <c r="T53" i="22"/>
  <c r="V53" i="22" s="1"/>
  <c r="T54" i="22"/>
  <c r="V54" i="22" s="1"/>
  <c r="T55" i="22"/>
  <c r="V55" i="22" s="1"/>
  <c r="T56" i="22"/>
  <c r="V56" i="22" s="1"/>
  <c r="T57" i="22"/>
  <c r="V57" i="22" s="1"/>
  <c r="T58" i="22"/>
  <c r="V58" i="22" s="1"/>
  <c r="U67" i="21"/>
  <c r="U68" i="21"/>
  <c r="U69" i="21"/>
  <c r="U70" i="21"/>
  <c r="U71" i="21"/>
  <c r="U72" i="21"/>
  <c r="U73" i="21"/>
  <c r="U74" i="21"/>
  <c r="U75" i="21"/>
  <c r="U76" i="21"/>
  <c r="U77" i="21"/>
  <c r="U78" i="21"/>
  <c r="U79" i="21"/>
  <c r="U80" i="21"/>
  <c r="U81" i="21"/>
  <c r="U82" i="21"/>
  <c r="U83" i="21"/>
  <c r="U84" i="21"/>
  <c r="U85" i="21"/>
  <c r="B9" i="12"/>
  <c r="B10" i="12" s="1"/>
  <c r="B11" i="12" s="1"/>
  <c r="B12" i="12" s="1"/>
  <c r="B13" i="12" s="1"/>
  <c r="B14" i="12" s="1"/>
  <c r="B15" i="12" s="1"/>
  <c r="B16" i="12" s="1"/>
  <c r="B17" i="12" s="1"/>
  <c r="B18" i="12" s="1"/>
  <c r="B19" i="12" s="1"/>
  <c r="B20" i="12" s="1"/>
  <c r="B21" i="12" s="1"/>
  <c r="B22" i="12" s="1"/>
  <c r="B23" i="12" s="1"/>
  <c r="B24" i="12" s="1"/>
  <c r="B25" i="12" s="1"/>
  <c r="B26" i="12" s="1"/>
  <c r="AE40" i="22"/>
  <c r="AE41" i="22"/>
  <c r="AE42" i="22"/>
  <c r="AE43" i="22"/>
  <c r="AE44" i="22"/>
  <c r="AE45" i="22"/>
  <c r="AE46" i="22"/>
  <c r="AE47" i="22"/>
  <c r="AE48" i="22"/>
  <c r="AE49" i="22"/>
  <c r="AE50" i="22"/>
  <c r="AE51" i="22"/>
  <c r="AE52" i="22"/>
  <c r="AE53" i="22"/>
  <c r="AE54" i="22"/>
  <c r="AE55" i="22"/>
  <c r="AE56" i="22"/>
  <c r="AE57" i="22"/>
  <c r="AE58" i="22"/>
  <c r="AE39" i="22"/>
  <c r="AE40" i="21"/>
  <c r="AE41" i="21"/>
  <c r="AE42" i="21"/>
  <c r="AE43" i="21"/>
  <c r="AE44" i="21"/>
  <c r="AE45" i="21"/>
  <c r="AE46" i="21"/>
  <c r="AE47" i="21"/>
  <c r="AE48" i="21"/>
  <c r="AE49" i="21"/>
  <c r="AE50" i="21"/>
  <c r="AE51" i="21"/>
  <c r="AE52" i="21"/>
  <c r="AE53" i="21"/>
  <c r="AE54" i="21"/>
  <c r="AE55" i="21"/>
  <c r="AE56" i="21"/>
  <c r="AE57" i="21"/>
  <c r="AE58" i="21"/>
  <c r="AE39" i="21"/>
  <c r="V40" i="21"/>
  <c r="V41" i="21"/>
  <c r="V42" i="21"/>
  <c r="V43" i="21"/>
  <c r="V44" i="21"/>
  <c r="V45" i="21"/>
  <c r="V46" i="21"/>
  <c r="V47" i="21"/>
  <c r="V48" i="21"/>
  <c r="V49" i="21"/>
  <c r="V50" i="21"/>
  <c r="V51" i="21"/>
  <c r="V52" i="21"/>
  <c r="V53" i="21"/>
  <c r="V54" i="21"/>
  <c r="V55" i="21"/>
  <c r="V56" i="21"/>
  <c r="V57" i="21"/>
  <c r="V58" i="21"/>
  <c r="AH13" i="21"/>
  <c r="V14" i="21"/>
  <c r="V15" i="21"/>
  <c r="AH16" i="21"/>
  <c r="AH17" i="21"/>
  <c r="AH18" i="21"/>
  <c r="V19" i="21"/>
  <c r="V20" i="21"/>
  <c r="AH21" i="21"/>
  <c r="V22" i="21"/>
  <c r="V23" i="21"/>
  <c r="AH24" i="21"/>
  <c r="AH25" i="21"/>
  <c r="AH26" i="21"/>
  <c r="V27" i="21"/>
  <c r="V28" i="21"/>
  <c r="AH29" i="21"/>
  <c r="V30" i="21"/>
  <c r="V24" i="22" l="1"/>
  <c r="AH24" i="22"/>
  <c r="V16" i="22"/>
  <c r="AH16" i="22"/>
  <c r="V26" i="22"/>
  <c r="AH26" i="22"/>
  <c r="V18" i="22"/>
  <c r="AH18" i="22"/>
  <c r="V23" i="22"/>
  <c r="AH23" i="22"/>
  <c r="V15" i="22"/>
  <c r="AH15" i="22"/>
  <c r="U81" i="22"/>
  <c r="U73" i="22"/>
  <c r="V29" i="22"/>
  <c r="AH29" i="22"/>
  <c r="V21" i="22"/>
  <c r="AH21" i="22"/>
  <c r="V13" i="22"/>
  <c r="AH13" i="22"/>
  <c r="U79" i="22"/>
  <c r="U71" i="22"/>
  <c r="V30" i="22"/>
  <c r="AH30" i="22"/>
  <c r="V14" i="22"/>
  <c r="AH14" i="22"/>
  <c r="V28" i="22"/>
  <c r="AH28" i="22"/>
  <c r="V20" i="22"/>
  <c r="AH20" i="22"/>
  <c r="V12" i="22"/>
  <c r="AH12" i="22"/>
  <c r="U78" i="22"/>
  <c r="U70" i="22"/>
  <c r="V22" i="22"/>
  <c r="AH22" i="22"/>
  <c r="V27" i="22"/>
  <c r="AH27" i="22"/>
  <c r="V19" i="22"/>
  <c r="AH19" i="22"/>
  <c r="U85" i="22"/>
  <c r="U77" i="22"/>
  <c r="U69" i="22"/>
  <c r="V25" i="22"/>
  <c r="AH25" i="22"/>
  <c r="V17" i="22"/>
  <c r="AH17" i="22"/>
  <c r="U83" i="22"/>
  <c r="U75" i="22"/>
  <c r="B27" i="12"/>
  <c r="B28" i="12" s="1"/>
  <c r="B29" i="12" s="1"/>
  <c r="B30" i="12" s="1"/>
  <c r="B31" i="12" s="1"/>
  <c r="B32" i="12" s="1"/>
  <c r="V25" i="21"/>
  <c r="V17" i="21"/>
  <c r="V24" i="21"/>
  <c r="AH19" i="21"/>
  <c r="V16" i="21"/>
  <c r="AH28" i="21"/>
  <c r="AH27" i="21"/>
  <c r="AH20" i="21"/>
  <c r="V29" i="21"/>
  <c r="V21" i="21"/>
  <c r="V13" i="21"/>
  <c r="AH23" i="21"/>
  <c r="AH15" i="21"/>
  <c r="AH30" i="21"/>
  <c r="AH22" i="21"/>
  <c r="AH14" i="21"/>
  <c r="V26" i="21"/>
  <c r="V18" i="21"/>
  <c r="B33" i="12" l="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B56" i="12" s="1"/>
  <c r="B57" i="12" s="1"/>
  <c r="B58" i="12" s="1"/>
  <c r="B59" i="12" s="1"/>
  <c r="B60" i="12" s="1"/>
  <c r="B61" i="12" s="1"/>
  <c r="B62" i="12" s="1"/>
  <c r="B63" i="12" s="1"/>
  <c r="B64" i="12" s="1"/>
  <c r="B65" i="12" s="1"/>
  <c r="B66" i="12" s="1"/>
  <c r="B67" i="12" s="1"/>
  <c r="B68" i="12" s="1"/>
  <c r="B69" i="12" s="1"/>
  <c r="B70" i="12" s="1"/>
  <c r="B71" i="12" s="1"/>
  <c r="B72" i="12" s="1"/>
  <c r="B73" i="12" s="1"/>
  <c r="B74" i="12" s="1"/>
  <c r="B75" i="12" s="1"/>
  <c r="B76" i="12" s="1"/>
  <c r="B77" i="12" s="1"/>
  <c r="B78" i="12" s="1"/>
  <c r="B79" i="12" s="1"/>
  <c r="B80" i="12" s="1"/>
  <c r="B81" i="12" s="1"/>
  <c r="B82" i="12" s="1"/>
  <c r="B83" i="12" s="1"/>
  <c r="B84" i="12" s="1"/>
  <c r="B85" i="12" s="1"/>
  <c r="B86" i="12" s="1"/>
  <c r="B87" i="12" s="1"/>
  <c r="B88" i="12" s="1"/>
  <c r="B89" i="12" s="1"/>
  <c r="B90" i="12" s="1"/>
  <c r="B91" i="12" s="1"/>
  <c r="B92" i="12" s="1"/>
  <c r="B93" i="12" s="1"/>
  <c r="B94" i="12" s="1"/>
  <c r="B95" i="12" s="1"/>
  <c r="B96" i="12" s="1"/>
  <c r="B97" i="12" s="1"/>
  <c r="B98" i="12" s="1"/>
  <c r="B99" i="12" s="1"/>
  <c r="B100" i="12" s="1"/>
  <c r="B101" i="12" s="1"/>
  <c r="B102" i="12" s="1"/>
  <c r="T49" i="1"/>
  <c r="V49" i="1" s="1"/>
  <c r="T50" i="1"/>
  <c r="V50" i="1" s="1"/>
  <c r="T51" i="1"/>
  <c r="V51" i="1" s="1"/>
  <c r="T52" i="1"/>
  <c r="V52" i="1" s="1"/>
  <c r="T53" i="1"/>
  <c r="V53" i="1" s="1"/>
  <c r="T54" i="1"/>
  <c r="V54" i="1" s="1"/>
  <c r="T55" i="1"/>
  <c r="V55" i="1" s="1"/>
  <c r="T56" i="1"/>
  <c r="V56" i="1" s="1"/>
  <c r="T57" i="1"/>
  <c r="V57" i="1" s="1"/>
  <c r="T58" i="1"/>
  <c r="V58" i="1" s="1"/>
  <c r="T59" i="1"/>
  <c r="V59" i="1" s="1"/>
  <c r="T41" i="1"/>
  <c r="V41" i="1" s="1"/>
  <c r="T42" i="1"/>
  <c r="V42" i="1" s="1"/>
  <c r="T43" i="1"/>
  <c r="V43" i="1" s="1"/>
  <c r="T44" i="1"/>
  <c r="V44" i="1" s="1"/>
  <c r="T45" i="1"/>
  <c r="V45" i="1" s="1"/>
  <c r="T46" i="1"/>
  <c r="V46" i="1" s="1"/>
  <c r="T47" i="1"/>
  <c r="V47" i="1" s="1"/>
  <c r="T48" i="1"/>
  <c r="V48" i="1" s="1"/>
  <c r="T12" i="1"/>
  <c r="T13" i="1"/>
  <c r="U70" i="1" s="1"/>
  <c r="T14" i="1"/>
  <c r="T15" i="1"/>
  <c r="U72" i="1" s="1"/>
  <c r="T16" i="1"/>
  <c r="U73" i="1" s="1"/>
  <c r="T17" i="1"/>
  <c r="U74" i="1" s="1"/>
  <c r="T18" i="1"/>
  <c r="U75" i="1" s="1"/>
  <c r="T19" i="1"/>
  <c r="U76" i="1" s="1"/>
  <c r="T20" i="1"/>
  <c r="U77" i="1" s="1"/>
  <c r="T21" i="1"/>
  <c r="U78" i="1" s="1"/>
  <c r="T22" i="1"/>
  <c r="U79" i="1" s="1"/>
  <c r="T23" i="1"/>
  <c r="U80" i="1" s="1"/>
  <c r="T24" i="1"/>
  <c r="U81" i="1" s="1"/>
  <c r="T25" i="1"/>
  <c r="U82" i="1" s="1"/>
  <c r="T26" i="1"/>
  <c r="U83" i="1" s="1"/>
  <c r="T27" i="1"/>
  <c r="U84" i="1" s="1"/>
  <c r="T28" i="1"/>
  <c r="U85" i="1" s="1"/>
  <c r="T29" i="1"/>
  <c r="U86" i="1" s="1"/>
  <c r="T30" i="1"/>
  <c r="U87" i="1" s="1"/>
  <c r="AE40" i="1"/>
  <c r="AS88" i="1"/>
  <c r="AT88" i="1" s="1"/>
  <c r="AQ88" i="1"/>
  <c r="AE41" i="1"/>
  <c r="AE42" i="1"/>
  <c r="AE43" i="1"/>
  <c r="AE44" i="1"/>
  <c r="AE45" i="1"/>
  <c r="AE46" i="1"/>
  <c r="AE47" i="1"/>
  <c r="AE48" i="1"/>
  <c r="AE49" i="1"/>
  <c r="AE50" i="1"/>
  <c r="AE51" i="1"/>
  <c r="AE52" i="1"/>
  <c r="AE53" i="1"/>
  <c r="AE54" i="1"/>
  <c r="AE55" i="1"/>
  <c r="AE56" i="1"/>
  <c r="AE57" i="1"/>
  <c r="AE58" i="1"/>
  <c r="AE59" i="1"/>
  <c r="U71" i="1" l="1"/>
  <c r="F131" i="1"/>
  <c r="F130" i="1"/>
  <c r="F127" i="1"/>
  <c r="AH24" i="1"/>
  <c r="V24" i="1"/>
  <c r="AH16" i="1"/>
  <c r="V16" i="1"/>
  <c r="V23" i="1"/>
  <c r="AH23" i="1"/>
  <c r="V15" i="1"/>
  <c r="AH15" i="1"/>
  <c r="V30" i="1"/>
  <c r="AH30" i="1"/>
  <c r="V22" i="1"/>
  <c r="AH22" i="1"/>
  <c r="V14" i="1"/>
  <c r="AH14" i="1"/>
  <c r="AH29" i="1"/>
  <c r="V29" i="1"/>
  <c r="AH21" i="1"/>
  <c r="V21" i="1"/>
  <c r="V13" i="1"/>
  <c r="AH13" i="1"/>
  <c r="AH28" i="1"/>
  <c r="V28" i="1"/>
  <c r="AH20" i="1"/>
  <c r="V20" i="1"/>
  <c r="AH27" i="1"/>
  <c r="V27" i="1"/>
  <c r="V19" i="1"/>
  <c r="AH19" i="1"/>
  <c r="V26" i="1"/>
  <c r="AH26" i="1"/>
  <c r="AH18" i="1"/>
  <c r="V18" i="1"/>
  <c r="AH25" i="1"/>
  <c r="V25" i="1"/>
  <c r="AH17" i="1"/>
  <c r="V17" i="1"/>
  <c r="V12" i="1"/>
  <c r="AH12" i="1"/>
  <c r="I131" i="1" l="1"/>
  <c r="J131" i="1" s="1"/>
  <c r="I127" i="1"/>
  <c r="J127" i="1" s="1"/>
  <c r="E39" i="22"/>
  <c r="AX71" i="1" l="1"/>
  <c r="AX72" i="1"/>
  <c r="AX73" i="1"/>
  <c r="AX74" i="1"/>
  <c r="AX75" i="1"/>
  <c r="AX76" i="1"/>
  <c r="AX77" i="1"/>
  <c r="AX78" i="1"/>
  <c r="AX79" i="1"/>
  <c r="AX80" i="1"/>
  <c r="AX81" i="1"/>
  <c r="AX82" i="1"/>
  <c r="AX83" i="1"/>
  <c r="AX84" i="1"/>
  <c r="AX85" i="1"/>
  <c r="AX86" i="1"/>
  <c r="AX87" i="1"/>
  <c r="AX67" i="22"/>
  <c r="AX68" i="22"/>
  <c r="AX69" i="22"/>
  <c r="AX70" i="22"/>
  <c r="AX71" i="22"/>
  <c r="AX72" i="22"/>
  <c r="AX73" i="22"/>
  <c r="AX74" i="22"/>
  <c r="AX75" i="22"/>
  <c r="AX76" i="22"/>
  <c r="AX77" i="22"/>
  <c r="AX78" i="22"/>
  <c r="AX79" i="22"/>
  <c r="AX80" i="22"/>
  <c r="AX81" i="22"/>
  <c r="AX82" i="22"/>
  <c r="AX83" i="22"/>
  <c r="AX84" i="22"/>
  <c r="AX85" i="22"/>
  <c r="AX66" i="22"/>
  <c r="AX85" i="21"/>
  <c r="AX84" i="21"/>
  <c r="AX83" i="21"/>
  <c r="AX82" i="21"/>
  <c r="AX81" i="21"/>
  <c r="AX80" i="21"/>
  <c r="AX79" i="21"/>
  <c r="AX78" i="21"/>
  <c r="AX77" i="21"/>
  <c r="AX76" i="21"/>
  <c r="AX75" i="21"/>
  <c r="AX74" i="21"/>
  <c r="AX73" i="21"/>
  <c r="AX72" i="21"/>
  <c r="AX71" i="21"/>
  <c r="AX70" i="21"/>
  <c r="AX69" i="21"/>
  <c r="AX68" i="21"/>
  <c r="AX67" i="21"/>
  <c r="M12" i="1"/>
  <c r="M13" i="1"/>
  <c r="M14" i="1"/>
  <c r="M15" i="1"/>
  <c r="M16" i="1"/>
  <c r="M17" i="1"/>
  <c r="M18" i="1"/>
  <c r="M19" i="1"/>
  <c r="M20" i="1"/>
  <c r="M21" i="1"/>
  <c r="M22" i="1"/>
  <c r="M23" i="1"/>
  <c r="M24" i="1"/>
  <c r="M25" i="1"/>
  <c r="M26" i="1"/>
  <c r="M27" i="1"/>
  <c r="M28" i="1"/>
  <c r="M29" i="1"/>
  <c r="M30" i="1"/>
  <c r="E39" i="21"/>
  <c r="M11" i="1"/>
  <c r="AQ71" i="1" l="1"/>
  <c r="AR71" i="1" s="1"/>
  <c r="AS71" i="1"/>
  <c r="AT71" i="1" s="1"/>
  <c r="M32" i="1"/>
  <c r="I62" i="1" s="1"/>
  <c r="M30" i="22"/>
  <c r="M13" i="22"/>
  <c r="M14" i="22"/>
  <c r="M15" i="22"/>
  <c r="M16" i="22"/>
  <c r="M17" i="22"/>
  <c r="M18" i="22"/>
  <c r="M19" i="22"/>
  <c r="M20" i="22"/>
  <c r="M21" i="22"/>
  <c r="M22" i="22"/>
  <c r="M23" i="22"/>
  <c r="M24" i="22"/>
  <c r="M25" i="22"/>
  <c r="M26" i="22"/>
  <c r="M27" i="22"/>
  <c r="M28" i="22"/>
  <c r="M29" i="22"/>
  <c r="M12" i="22"/>
  <c r="M11" i="22"/>
  <c r="M12" i="21"/>
  <c r="M13" i="21"/>
  <c r="M14" i="21"/>
  <c r="M15" i="21"/>
  <c r="N15" i="21" s="1"/>
  <c r="M16" i="21"/>
  <c r="N16" i="21" s="1"/>
  <c r="M17" i="21"/>
  <c r="N17" i="21" s="1"/>
  <c r="M18" i="21"/>
  <c r="N18" i="21" s="1"/>
  <c r="M19" i="21"/>
  <c r="N19" i="21" s="1"/>
  <c r="M20" i="21"/>
  <c r="N20" i="21" s="1"/>
  <c r="M21" i="21"/>
  <c r="N21" i="21" s="1"/>
  <c r="M22" i="21"/>
  <c r="N22" i="21" s="1"/>
  <c r="M23" i="21"/>
  <c r="N23" i="21" s="1"/>
  <c r="M24" i="21"/>
  <c r="N24" i="21" s="1"/>
  <c r="M25" i="21"/>
  <c r="N25" i="21" s="1"/>
  <c r="M26" i="21"/>
  <c r="N26" i="21" s="1"/>
  <c r="M27" i="21"/>
  <c r="N27" i="21" s="1"/>
  <c r="M28" i="21"/>
  <c r="N28" i="21" s="1"/>
  <c r="M29" i="21"/>
  <c r="N29" i="21" s="1"/>
  <c r="M30" i="21"/>
  <c r="N30" i="21" s="1"/>
  <c r="M11" i="21"/>
  <c r="I59" i="21" l="1"/>
  <c r="I60" i="21" s="1"/>
  <c r="K31" i="21"/>
  <c r="J31" i="21"/>
  <c r="I31" i="21"/>
  <c r="I33" i="21" s="1"/>
  <c r="I32" i="21" l="1"/>
  <c r="E41" i="1"/>
  <c r="E42" i="1"/>
  <c r="E43" i="1"/>
  <c r="E44" i="1"/>
  <c r="E45" i="1"/>
  <c r="E46" i="1"/>
  <c r="E47" i="1"/>
  <c r="E48" i="1"/>
  <c r="E49" i="1"/>
  <c r="E50" i="1"/>
  <c r="M31" i="21" l="1"/>
  <c r="D19" i="10"/>
  <c r="D8" i="10" l="1"/>
  <c r="J67" i="22"/>
  <c r="J68" i="22"/>
  <c r="J69" i="22"/>
  <c r="J70" i="22"/>
  <c r="J71" i="22"/>
  <c r="J72" i="22"/>
  <c r="J73" i="22"/>
  <c r="J74" i="22"/>
  <c r="J75" i="22"/>
  <c r="J76" i="22"/>
  <c r="J77" i="22"/>
  <c r="J78" i="22"/>
  <c r="J79" i="22"/>
  <c r="J80" i="22"/>
  <c r="J81" i="22"/>
  <c r="J82" i="22"/>
  <c r="J83" i="22"/>
  <c r="J84" i="22"/>
  <c r="J85" i="22"/>
  <c r="J66" i="22"/>
  <c r="E85" i="22"/>
  <c r="E84" i="22"/>
  <c r="E83" i="22"/>
  <c r="E82" i="22"/>
  <c r="E81" i="22"/>
  <c r="E80" i="22"/>
  <c r="E79" i="22"/>
  <c r="E78" i="22"/>
  <c r="E77" i="22"/>
  <c r="E76" i="22"/>
  <c r="E75" i="22"/>
  <c r="E74" i="22"/>
  <c r="E73" i="22"/>
  <c r="E72" i="22"/>
  <c r="E2" i="18" l="1"/>
  <c r="AW88" i="1" l="1"/>
  <c r="D2" i="18" l="1"/>
  <c r="D2" i="11"/>
  <c r="C2" i="22"/>
  <c r="C2" i="21"/>
  <c r="C2" i="1"/>
  <c r="C2" i="10"/>
  <c r="T39" i="22"/>
  <c r="W12" i="22"/>
  <c r="X12" i="22" s="1"/>
  <c r="W13" i="22"/>
  <c r="X13" i="22" s="1"/>
  <c r="W14" i="22"/>
  <c r="X14" i="22" s="1"/>
  <c r="W15" i="22"/>
  <c r="X15" i="22" s="1"/>
  <c r="W16" i="22"/>
  <c r="X16" i="22" s="1"/>
  <c r="W17" i="22"/>
  <c r="X17" i="22" s="1"/>
  <c r="W18" i="22"/>
  <c r="X18" i="22" s="1"/>
  <c r="W19" i="22"/>
  <c r="X19" i="22" s="1"/>
  <c r="W20" i="22"/>
  <c r="X20" i="22" s="1"/>
  <c r="W21" i="22"/>
  <c r="X21" i="22" s="1"/>
  <c r="W22" i="22"/>
  <c r="X22" i="22" s="1"/>
  <c r="W23" i="22"/>
  <c r="X23" i="22" s="1"/>
  <c r="W24" i="22"/>
  <c r="X24" i="22" s="1"/>
  <c r="W25" i="22"/>
  <c r="X25" i="22" s="1"/>
  <c r="W26" i="22"/>
  <c r="X26" i="22" s="1"/>
  <c r="W27" i="22"/>
  <c r="X27" i="22" s="1"/>
  <c r="W28" i="22"/>
  <c r="X28" i="22" s="1"/>
  <c r="W29" i="22"/>
  <c r="X29" i="22" s="1"/>
  <c r="W30" i="22"/>
  <c r="X30" i="22" s="1"/>
  <c r="W11" i="22"/>
  <c r="T11" i="22"/>
  <c r="AG12" i="22" l="1"/>
  <c r="AG14" i="22"/>
  <c r="AG15" i="22"/>
  <c r="AG16" i="22"/>
  <c r="AG11" i="22"/>
  <c r="I59" i="22"/>
  <c r="AG58" i="22"/>
  <c r="AH58" i="22" s="1"/>
  <c r="AF58" i="22"/>
  <c r="AB58" i="22"/>
  <c r="AD58" i="22" s="1"/>
  <c r="W58" i="22"/>
  <c r="X58" i="22" s="1"/>
  <c r="E58" i="22"/>
  <c r="AG57" i="22"/>
  <c r="AH57" i="22" s="1"/>
  <c r="AF57" i="22"/>
  <c r="AB57" i="22"/>
  <c r="AD57" i="22" s="1"/>
  <c r="W57" i="22"/>
  <c r="X57" i="22" s="1"/>
  <c r="E57" i="22"/>
  <c r="AG56" i="22"/>
  <c r="AH56" i="22" s="1"/>
  <c r="AF56" i="22"/>
  <c r="AB56" i="22"/>
  <c r="AD56" i="22" s="1"/>
  <c r="W56" i="22"/>
  <c r="X56" i="22" s="1"/>
  <c r="E56" i="22"/>
  <c r="AG55" i="22"/>
  <c r="AH55" i="22" s="1"/>
  <c r="AF55" i="22"/>
  <c r="AB55" i="22"/>
  <c r="AD55" i="22" s="1"/>
  <c r="W55" i="22"/>
  <c r="X55" i="22" s="1"/>
  <c r="E55" i="22"/>
  <c r="AG54" i="22"/>
  <c r="AH54" i="22" s="1"/>
  <c r="AF54" i="22"/>
  <c r="AB54" i="22"/>
  <c r="AD54" i="22" s="1"/>
  <c r="W54" i="22"/>
  <c r="X54" i="22" s="1"/>
  <c r="E54" i="22"/>
  <c r="AG53" i="22"/>
  <c r="AH53" i="22" s="1"/>
  <c r="AF53" i="22"/>
  <c r="AB53" i="22"/>
  <c r="W53" i="22"/>
  <c r="X53" i="22" s="1"/>
  <c r="E53" i="22"/>
  <c r="AG52" i="22"/>
  <c r="AH52" i="22" s="1"/>
  <c r="AF52" i="22"/>
  <c r="AB52" i="22"/>
  <c r="AD52" i="22" s="1"/>
  <c r="W52" i="22"/>
  <c r="X52" i="22" s="1"/>
  <c r="E52" i="22"/>
  <c r="AG51" i="22"/>
  <c r="AH51" i="22" s="1"/>
  <c r="AF51" i="22"/>
  <c r="AB51" i="22"/>
  <c r="AD51" i="22" s="1"/>
  <c r="W51" i="22"/>
  <c r="X51" i="22" s="1"/>
  <c r="E51" i="22"/>
  <c r="AG50" i="22"/>
  <c r="AH50" i="22" s="1"/>
  <c r="AF50" i="22"/>
  <c r="AB50" i="22"/>
  <c r="AD50" i="22" s="1"/>
  <c r="W50" i="22"/>
  <c r="X50" i="22" s="1"/>
  <c r="E50" i="22"/>
  <c r="AG49" i="22"/>
  <c r="AH49" i="22" s="1"/>
  <c r="AF49" i="22"/>
  <c r="AB49" i="22"/>
  <c r="AD49" i="22" s="1"/>
  <c r="W49" i="22"/>
  <c r="X49" i="22" s="1"/>
  <c r="E49" i="22"/>
  <c r="AG48" i="22"/>
  <c r="AH48" i="22" s="1"/>
  <c r="AF48" i="22"/>
  <c r="AB48" i="22"/>
  <c r="AD48" i="22" s="1"/>
  <c r="W48" i="22"/>
  <c r="X48" i="22" s="1"/>
  <c r="E48" i="22"/>
  <c r="AG47" i="22"/>
  <c r="AH47" i="22" s="1"/>
  <c r="AF47" i="22"/>
  <c r="AB47" i="22"/>
  <c r="AD47" i="22" s="1"/>
  <c r="W47" i="22"/>
  <c r="X47" i="22" s="1"/>
  <c r="E47" i="22"/>
  <c r="AG46" i="22"/>
  <c r="AH46" i="22" s="1"/>
  <c r="AF46" i="22"/>
  <c r="AB46" i="22"/>
  <c r="AD46" i="22" s="1"/>
  <c r="W46" i="22"/>
  <c r="X46" i="22" s="1"/>
  <c r="E46" i="22"/>
  <c r="AG45" i="22"/>
  <c r="AH45" i="22" s="1"/>
  <c r="AF45" i="22"/>
  <c r="AB45" i="22"/>
  <c r="AD45" i="22" s="1"/>
  <c r="W45" i="22"/>
  <c r="X45" i="22" s="1"/>
  <c r="E45" i="22"/>
  <c r="AG44" i="22"/>
  <c r="AH44" i="22" s="1"/>
  <c r="AF44" i="22"/>
  <c r="AB44" i="22"/>
  <c r="AD44" i="22" s="1"/>
  <c r="W44" i="22"/>
  <c r="X44" i="22" s="1"/>
  <c r="E44" i="22"/>
  <c r="AG43" i="22"/>
  <c r="AH43" i="22" s="1"/>
  <c r="AF43" i="22"/>
  <c r="AB43" i="22"/>
  <c r="AD43" i="22" s="1"/>
  <c r="W43" i="22"/>
  <c r="X43" i="22" s="1"/>
  <c r="E43" i="22"/>
  <c r="AG42" i="22"/>
  <c r="AH42" i="22" s="1"/>
  <c r="AF42" i="22"/>
  <c r="AB42" i="22"/>
  <c r="AD42" i="22" s="1"/>
  <c r="W42" i="22"/>
  <c r="X42" i="22" s="1"/>
  <c r="E42" i="22"/>
  <c r="AG41" i="22"/>
  <c r="AH41" i="22" s="1"/>
  <c r="AF41" i="22"/>
  <c r="AB41" i="22"/>
  <c r="AD41" i="22" s="1"/>
  <c r="W41" i="22"/>
  <c r="X41" i="22" s="1"/>
  <c r="E41" i="22"/>
  <c r="AG40" i="22"/>
  <c r="AH40" i="22" s="1"/>
  <c r="AF40" i="22"/>
  <c r="AB40" i="22"/>
  <c r="AD40" i="22" s="1"/>
  <c r="W40" i="22"/>
  <c r="X40" i="22" s="1"/>
  <c r="E40" i="22"/>
  <c r="AG39" i="22"/>
  <c r="AH39" i="22" s="1"/>
  <c r="AF39" i="22"/>
  <c r="AB39" i="22"/>
  <c r="AD39" i="22" s="1"/>
  <c r="W39" i="22"/>
  <c r="X39" i="22" s="1"/>
  <c r="V39" i="22"/>
  <c r="K31" i="22"/>
  <c r="J31" i="22"/>
  <c r="I31" i="22"/>
  <c r="AI30" i="22"/>
  <c r="AG30" i="22"/>
  <c r="AB30" i="22"/>
  <c r="AC30" i="22" s="1"/>
  <c r="AI29" i="22"/>
  <c r="AG29" i="22"/>
  <c r="AB29" i="22"/>
  <c r="AD29" i="22" s="1"/>
  <c r="AI28" i="22"/>
  <c r="AG28" i="22"/>
  <c r="AB28" i="22"/>
  <c r="AD28" i="22" s="1"/>
  <c r="AI27" i="22"/>
  <c r="AG27" i="22"/>
  <c r="AB27" i="22"/>
  <c r="AD27" i="22" s="1"/>
  <c r="AI26" i="22"/>
  <c r="AG26" i="22"/>
  <c r="AB26" i="22"/>
  <c r="AC26" i="22" s="1"/>
  <c r="AI25" i="22"/>
  <c r="AG25" i="22"/>
  <c r="AB25" i="22"/>
  <c r="AC25" i="22" s="1"/>
  <c r="AI24" i="22"/>
  <c r="AG24" i="22"/>
  <c r="AB24" i="22"/>
  <c r="AD24" i="22" s="1"/>
  <c r="AI23" i="22"/>
  <c r="AG23" i="22"/>
  <c r="AB23" i="22"/>
  <c r="AD23" i="22" s="1"/>
  <c r="AI22" i="22"/>
  <c r="AG22" i="22"/>
  <c r="AB22" i="22"/>
  <c r="AD22" i="22" s="1"/>
  <c r="AI21" i="22"/>
  <c r="AG21" i="22"/>
  <c r="AB21" i="22"/>
  <c r="AD21" i="22" s="1"/>
  <c r="AI20" i="22"/>
  <c r="AG20" i="22"/>
  <c r="AB20" i="22"/>
  <c r="AD20" i="22" s="1"/>
  <c r="AI19" i="22"/>
  <c r="AG19" i="22"/>
  <c r="AB19" i="22"/>
  <c r="AD19" i="22" s="1"/>
  <c r="AI18" i="22"/>
  <c r="AG18" i="22"/>
  <c r="AB18" i="22"/>
  <c r="AC18" i="22" s="1"/>
  <c r="AI17" i="22"/>
  <c r="AG17" i="22"/>
  <c r="AB17" i="22"/>
  <c r="AD17" i="22" s="1"/>
  <c r="AI16" i="22"/>
  <c r="AB16" i="22"/>
  <c r="AD16" i="22" s="1"/>
  <c r="AI15" i="22"/>
  <c r="AB15" i="22"/>
  <c r="AD15" i="22" s="1"/>
  <c r="AI14" i="22"/>
  <c r="AB14" i="22"/>
  <c r="AI13" i="22"/>
  <c r="AB13" i="22"/>
  <c r="AD13" i="22" s="1"/>
  <c r="N13" i="22" s="1"/>
  <c r="AI12" i="22"/>
  <c r="AB12" i="22"/>
  <c r="AD12" i="22" s="1"/>
  <c r="N12" i="22" s="1"/>
  <c r="AI11" i="22"/>
  <c r="AD11" i="22"/>
  <c r="X11" i="22"/>
  <c r="AX66" i="21"/>
  <c r="AG58" i="21"/>
  <c r="AH58" i="21" s="1"/>
  <c r="AF58" i="21"/>
  <c r="AB58" i="21"/>
  <c r="AD58" i="21" s="1"/>
  <c r="W58" i="21"/>
  <c r="X58" i="21" s="1"/>
  <c r="E58" i="21"/>
  <c r="AG57" i="21"/>
  <c r="AH57" i="21" s="1"/>
  <c r="AF57" i="21"/>
  <c r="AB57" i="21"/>
  <c r="AD57" i="21" s="1"/>
  <c r="W57" i="21"/>
  <c r="X57" i="21" s="1"/>
  <c r="E57" i="21"/>
  <c r="AG56" i="21"/>
  <c r="AH56" i="21" s="1"/>
  <c r="AF56" i="21"/>
  <c r="AB56" i="21"/>
  <c r="AD56" i="21" s="1"/>
  <c r="W56" i="21"/>
  <c r="X56" i="21" s="1"/>
  <c r="E56" i="21"/>
  <c r="AG55" i="21"/>
  <c r="AH55" i="21" s="1"/>
  <c r="AF55" i="21"/>
  <c r="AB55" i="21"/>
  <c r="AD55" i="21" s="1"/>
  <c r="W55" i="21"/>
  <c r="X55" i="21" s="1"/>
  <c r="E55" i="21"/>
  <c r="AG54" i="21"/>
  <c r="AH54" i="21" s="1"/>
  <c r="AF54" i="21"/>
  <c r="AB54" i="21"/>
  <c r="AD54" i="21" s="1"/>
  <c r="W54" i="21"/>
  <c r="X54" i="21" s="1"/>
  <c r="E54" i="21"/>
  <c r="AG53" i="21"/>
  <c r="AH53" i="21" s="1"/>
  <c r="AF53" i="21"/>
  <c r="AB53" i="21"/>
  <c r="AD53" i="21" s="1"/>
  <c r="W53" i="21"/>
  <c r="X53" i="21" s="1"/>
  <c r="E53" i="21"/>
  <c r="AG52" i="21"/>
  <c r="AH52" i="21" s="1"/>
  <c r="AF52" i="21"/>
  <c r="AB52" i="21"/>
  <c r="AD52" i="21" s="1"/>
  <c r="W52" i="21"/>
  <c r="X52" i="21" s="1"/>
  <c r="E52" i="21"/>
  <c r="AG51" i="21"/>
  <c r="AH51" i="21" s="1"/>
  <c r="AF51" i="21"/>
  <c r="AB51" i="21"/>
  <c r="AD51" i="21" s="1"/>
  <c r="W51" i="21"/>
  <c r="X51" i="21" s="1"/>
  <c r="E51" i="21"/>
  <c r="AG50" i="21"/>
  <c r="AH50" i="21" s="1"/>
  <c r="AF50" i="21"/>
  <c r="AB50" i="21"/>
  <c r="AD50" i="21" s="1"/>
  <c r="W50" i="21"/>
  <c r="X50" i="21" s="1"/>
  <c r="E50" i="21"/>
  <c r="AG49" i="21"/>
  <c r="AH49" i="21" s="1"/>
  <c r="AF49" i="21"/>
  <c r="AB49" i="21"/>
  <c r="AD49" i="21" s="1"/>
  <c r="W49" i="21"/>
  <c r="X49" i="21" s="1"/>
  <c r="E49" i="21"/>
  <c r="AG48" i="21"/>
  <c r="AH48" i="21" s="1"/>
  <c r="AF48" i="21"/>
  <c r="AB48" i="21"/>
  <c r="AD48" i="21" s="1"/>
  <c r="W48" i="21"/>
  <c r="X48" i="21" s="1"/>
  <c r="E48" i="21"/>
  <c r="AG47" i="21"/>
  <c r="AH47" i="21" s="1"/>
  <c r="AF47" i="21"/>
  <c r="AB47" i="21"/>
  <c r="AD47" i="21" s="1"/>
  <c r="W47" i="21"/>
  <c r="X47" i="21" s="1"/>
  <c r="E47" i="21"/>
  <c r="AG46" i="21"/>
  <c r="AH46" i="21" s="1"/>
  <c r="AF46" i="21"/>
  <c r="AB46" i="21"/>
  <c r="AD46" i="21" s="1"/>
  <c r="W46" i="21"/>
  <c r="X46" i="21" s="1"/>
  <c r="E46" i="21"/>
  <c r="AG45" i="21"/>
  <c r="AH45" i="21" s="1"/>
  <c r="AF45" i="21"/>
  <c r="AB45" i="21"/>
  <c r="AD45" i="21" s="1"/>
  <c r="W45" i="21"/>
  <c r="X45" i="21" s="1"/>
  <c r="E45" i="21"/>
  <c r="AG44" i="21"/>
  <c r="AH44" i="21" s="1"/>
  <c r="AF44" i="21"/>
  <c r="AB44" i="21"/>
  <c r="AD44" i="21" s="1"/>
  <c r="W44" i="21"/>
  <c r="X44" i="21" s="1"/>
  <c r="E44" i="21"/>
  <c r="AG43" i="21"/>
  <c r="AH43" i="21" s="1"/>
  <c r="AF43" i="21"/>
  <c r="AB43" i="21"/>
  <c r="AD43" i="21" s="1"/>
  <c r="W43" i="21"/>
  <c r="X43" i="21" s="1"/>
  <c r="E43" i="21"/>
  <c r="AG42" i="21"/>
  <c r="AH42" i="21" s="1"/>
  <c r="AF42" i="21"/>
  <c r="AB42" i="21"/>
  <c r="AD42" i="21" s="1"/>
  <c r="W42" i="21"/>
  <c r="X42" i="21" s="1"/>
  <c r="E42" i="21"/>
  <c r="AG41" i="21"/>
  <c r="AH41" i="21" s="1"/>
  <c r="AF41" i="21"/>
  <c r="AB41" i="21"/>
  <c r="AD41" i="21" s="1"/>
  <c r="W41" i="21"/>
  <c r="X41" i="21" s="1"/>
  <c r="E41" i="21"/>
  <c r="AG40" i="21"/>
  <c r="AH40" i="21" s="1"/>
  <c r="AF40" i="21"/>
  <c r="AB40" i="21"/>
  <c r="AD40" i="21" s="1"/>
  <c r="W40" i="21"/>
  <c r="X40" i="21" s="1"/>
  <c r="E40" i="21"/>
  <c r="AG39" i="21"/>
  <c r="AH39" i="21" s="1"/>
  <c r="AF39" i="21"/>
  <c r="AB39" i="21"/>
  <c r="AD39" i="21" s="1"/>
  <c r="W39" i="21"/>
  <c r="X39" i="21" s="1"/>
  <c r="V39" i="21"/>
  <c r="AI30" i="21"/>
  <c r="AB30" i="21"/>
  <c r="AC30" i="21" s="1"/>
  <c r="AG30" i="21"/>
  <c r="AI29" i="21"/>
  <c r="AB29" i="21"/>
  <c r="AD29" i="21" s="1"/>
  <c r="AG29" i="21"/>
  <c r="AI28" i="21"/>
  <c r="AG28" i="21"/>
  <c r="AB28" i="21"/>
  <c r="AD28" i="21" s="1"/>
  <c r="AI27" i="21"/>
  <c r="AB27" i="21"/>
  <c r="AD27" i="21" s="1"/>
  <c r="AG27" i="21"/>
  <c r="AI26" i="21"/>
  <c r="AG26" i="21"/>
  <c r="AB26" i="21"/>
  <c r="AC26" i="21" s="1"/>
  <c r="AI25" i="21"/>
  <c r="AB25" i="21"/>
  <c r="AD25" i="21" s="1"/>
  <c r="AG25" i="21"/>
  <c r="AI24" i="21"/>
  <c r="AB24" i="21"/>
  <c r="AC24" i="21" s="1"/>
  <c r="AG24" i="21"/>
  <c r="AI23" i="21"/>
  <c r="AB23" i="21"/>
  <c r="AD23" i="21" s="1"/>
  <c r="AG23" i="21"/>
  <c r="AI22" i="21"/>
  <c r="AB22" i="21"/>
  <c r="AC22" i="21" s="1"/>
  <c r="AG22" i="21"/>
  <c r="AI21" i="21"/>
  <c r="AB21" i="21"/>
  <c r="AD21" i="21" s="1"/>
  <c r="AG21" i="21"/>
  <c r="AI20" i="21"/>
  <c r="AB20" i="21"/>
  <c r="AC20" i="21" s="1"/>
  <c r="AG20" i="21"/>
  <c r="AI19" i="21"/>
  <c r="AB19" i="21"/>
  <c r="AD19" i="21" s="1"/>
  <c r="AG19" i="21"/>
  <c r="AI18" i="21"/>
  <c r="AB18" i="21"/>
  <c r="AC18" i="21" s="1"/>
  <c r="AG18" i="21"/>
  <c r="AI17" i="21"/>
  <c r="AB17" i="21"/>
  <c r="AD17" i="21" s="1"/>
  <c r="AG17" i="21"/>
  <c r="AI16" i="21"/>
  <c r="AB16" i="21"/>
  <c r="AC16" i="21" s="1"/>
  <c r="AG16" i="21"/>
  <c r="AI15" i="21"/>
  <c r="AB15" i="21"/>
  <c r="AD15" i="21" s="1"/>
  <c r="AG15" i="21"/>
  <c r="AI14" i="21"/>
  <c r="AB14" i="21"/>
  <c r="AD14" i="21" s="1"/>
  <c r="AG14" i="21"/>
  <c r="AI13" i="21"/>
  <c r="AB13" i="21"/>
  <c r="AD13" i="21" s="1"/>
  <c r="AG13" i="21"/>
  <c r="AI12" i="21"/>
  <c r="AB12" i="21"/>
  <c r="AG12" i="21"/>
  <c r="AI11" i="21"/>
  <c r="AB11" i="21"/>
  <c r="AD11" i="21" s="1"/>
  <c r="X11" i="21"/>
  <c r="AQ66" i="21" l="1"/>
  <c r="AR66" i="21" s="1"/>
  <c r="AS66" i="21"/>
  <c r="AT66" i="21" s="1"/>
  <c r="N22" i="22"/>
  <c r="N15" i="22"/>
  <c r="N19" i="22"/>
  <c r="N23" i="22"/>
  <c r="N27" i="22"/>
  <c r="N16" i="22"/>
  <c r="N21" i="22"/>
  <c r="N24" i="22"/>
  <c r="N20" i="22"/>
  <c r="N29" i="22"/>
  <c r="N17" i="22"/>
  <c r="N28" i="22"/>
  <c r="AR12" i="22"/>
  <c r="AR13" i="22"/>
  <c r="L39" i="21"/>
  <c r="V11" i="21"/>
  <c r="AE11" i="21" s="1"/>
  <c r="AH12" i="21"/>
  <c r="V12" i="21"/>
  <c r="AC53" i="22"/>
  <c r="AD53" i="22"/>
  <c r="U67" i="22"/>
  <c r="U66" i="21"/>
  <c r="T66" i="21"/>
  <c r="AH11" i="21"/>
  <c r="E69" i="22"/>
  <c r="AB73" i="22"/>
  <c r="H73" i="22" s="1"/>
  <c r="AN73" i="22" s="1"/>
  <c r="T73" i="22"/>
  <c r="X73" i="22"/>
  <c r="W73" i="22"/>
  <c r="AG73" i="22"/>
  <c r="AH73" i="22" s="1"/>
  <c r="AF73" i="22"/>
  <c r="AU73" i="22"/>
  <c r="AV73" i="22" s="1"/>
  <c r="AI73" i="22"/>
  <c r="AJ73" i="22" s="1"/>
  <c r="AW73" i="22"/>
  <c r="V73" i="22"/>
  <c r="AF77" i="22"/>
  <c r="AW77" i="22"/>
  <c r="AC77" i="22"/>
  <c r="AD77" i="22" s="1"/>
  <c r="AU77" i="22"/>
  <c r="AV77" i="22" s="1"/>
  <c r="AB77" i="22"/>
  <c r="H77" i="22" s="1"/>
  <c r="AN77" i="22" s="1"/>
  <c r="T77" i="22"/>
  <c r="AI77" i="22"/>
  <c r="AJ77" i="22" s="1"/>
  <c r="X77" i="22"/>
  <c r="AG77" i="22"/>
  <c r="AH77" i="22" s="1"/>
  <c r="W77" i="22"/>
  <c r="V77" i="22"/>
  <c r="AF81" i="22"/>
  <c r="W81" i="22"/>
  <c r="AW81" i="22"/>
  <c r="V81" i="22"/>
  <c r="AU81" i="22"/>
  <c r="AV81" i="22" s="1"/>
  <c r="AB81" i="22"/>
  <c r="T81" i="22"/>
  <c r="AI81" i="22"/>
  <c r="AJ81" i="22" s="1"/>
  <c r="AG81" i="22"/>
  <c r="AH81" i="22" s="1"/>
  <c r="X81" i="22"/>
  <c r="H81" i="22"/>
  <c r="AN81" i="22" s="1"/>
  <c r="C85" i="22"/>
  <c r="AI85" i="22"/>
  <c r="AJ85" i="22" s="1"/>
  <c r="X85" i="22"/>
  <c r="AU85" i="22"/>
  <c r="AV85" i="22" s="1"/>
  <c r="AB85" i="22"/>
  <c r="H85" i="22" s="1"/>
  <c r="AN85" i="22" s="1"/>
  <c r="T85" i="22"/>
  <c r="AG85" i="22"/>
  <c r="AH85" i="22" s="1"/>
  <c r="W85" i="22"/>
  <c r="AF85" i="22"/>
  <c r="V85" i="22"/>
  <c r="AW85" i="22"/>
  <c r="E70" i="22"/>
  <c r="AG74" i="22"/>
  <c r="AH74" i="22" s="1"/>
  <c r="X74" i="22"/>
  <c r="T74" i="22"/>
  <c r="AI74" i="22"/>
  <c r="AJ74" i="22" s="1"/>
  <c r="AF74" i="22"/>
  <c r="W74" i="22"/>
  <c r="AB74" i="22"/>
  <c r="H74" i="22" s="1"/>
  <c r="AN74" i="22" s="1"/>
  <c r="AW74" i="22"/>
  <c r="V74" i="22"/>
  <c r="AU74" i="22"/>
  <c r="AV74" i="22" s="1"/>
  <c r="AC74" i="22"/>
  <c r="AD74" i="22" s="1"/>
  <c r="AF78" i="22"/>
  <c r="V78" i="22"/>
  <c r="AI78" i="22"/>
  <c r="AJ78" i="22" s="1"/>
  <c r="X78" i="22"/>
  <c r="AW78" i="22"/>
  <c r="AC78" i="22"/>
  <c r="AD78" i="22" s="1"/>
  <c r="AG78" i="22"/>
  <c r="AH78" i="22" s="1"/>
  <c r="W78" i="22"/>
  <c r="AU78" i="22"/>
  <c r="AV78" i="22" s="1"/>
  <c r="AB78" i="22"/>
  <c r="H78" i="22" s="1"/>
  <c r="AN78" i="22" s="1"/>
  <c r="T78" i="22"/>
  <c r="AF82" i="22"/>
  <c r="AI82" i="22"/>
  <c r="AJ82" i="22" s="1"/>
  <c r="W82" i="22"/>
  <c r="AW82" i="22"/>
  <c r="V82" i="22"/>
  <c r="AG82" i="22"/>
  <c r="AH82" i="22" s="1"/>
  <c r="X82" i="22"/>
  <c r="AU82" i="22"/>
  <c r="AV82" i="22" s="1"/>
  <c r="AC82" i="22"/>
  <c r="AD82" i="22" s="1"/>
  <c r="AB82" i="22"/>
  <c r="T82" i="22"/>
  <c r="H82" i="22"/>
  <c r="AN82" i="22" s="1"/>
  <c r="E71" i="22"/>
  <c r="AU75" i="22"/>
  <c r="AV75" i="22" s="1"/>
  <c r="AB75" i="22"/>
  <c r="T75" i="22"/>
  <c r="X75" i="22"/>
  <c r="AG75" i="22"/>
  <c r="AH75" i="22" s="1"/>
  <c r="W75" i="22"/>
  <c r="AI75" i="22"/>
  <c r="AJ75" i="22" s="1"/>
  <c r="AF75" i="22"/>
  <c r="V75" i="22"/>
  <c r="AW75" i="22"/>
  <c r="AC75" i="22"/>
  <c r="AD75" i="22" s="1"/>
  <c r="H75" i="22"/>
  <c r="AN75" i="22" s="1"/>
  <c r="AF79" i="22"/>
  <c r="W79" i="22"/>
  <c r="AW79" i="22"/>
  <c r="V79" i="22"/>
  <c r="AU79" i="22"/>
  <c r="AV79" i="22" s="1"/>
  <c r="AC79" i="22"/>
  <c r="AD79" i="22" s="1"/>
  <c r="AB79" i="22"/>
  <c r="H79" i="22" s="1"/>
  <c r="AN79" i="22" s="1"/>
  <c r="T79" i="22"/>
  <c r="AI79" i="22"/>
  <c r="AJ79" i="22" s="1"/>
  <c r="AG79" i="22"/>
  <c r="AH79" i="22" s="1"/>
  <c r="X79" i="22"/>
  <c r="AG83" i="22"/>
  <c r="AH83" i="22" s="1"/>
  <c r="W83" i="22"/>
  <c r="AF83" i="22"/>
  <c r="V83" i="22"/>
  <c r="AW83" i="22"/>
  <c r="AC83" i="22"/>
  <c r="AD83" i="22" s="1"/>
  <c r="AU83" i="22"/>
  <c r="AV83" i="22" s="1"/>
  <c r="AB83" i="22"/>
  <c r="H83" i="22" s="1"/>
  <c r="AN83" i="22" s="1"/>
  <c r="T83" i="22"/>
  <c r="AI83" i="22"/>
  <c r="AJ83" i="22" s="1"/>
  <c r="X83" i="22"/>
  <c r="AG72" i="22"/>
  <c r="AH72" i="22" s="1"/>
  <c r="X72" i="22"/>
  <c r="T72" i="22"/>
  <c r="AI72" i="22"/>
  <c r="AJ72" i="22" s="1"/>
  <c r="AF72" i="22"/>
  <c r="W72" i="22"/>
  <c r="AB72" i="22"/>
  <c r="H72" i="22" s="1"/>
  <c r="AN72" i="22" s="1"/>
  <c r="AW72" i="22"/>
  <c r="V72" i="22"/>
  <c r="AU72" i="22"/>
  <c r="AV72" i="22" s="1"/>
  <c r="AC72" i="22"/>
  <c r="AD72" i="22" s="1"/>
  <c r="AI76" i="22"/>
  <c r="AJ76" i="22" s="1"/>
  <c r="AC76" i="22"/>
  <c r="AD76" i="22" s="1"/>
  <c r="T76" i="22"/>
  <c r="AG76" i="22"/>
  <c r="AH76" i="22" s="1"/>
  <c r="X76" i="22"/>
  <c r="AU76" i="22"/>
  <c r="AV76" i="22" s="1"/>
  <c r="AF76" i="22"/>
  <c r="W76" i="22"/>
  <c r="AB76" i="22"/>
  <c r="H76" i="22" s="1"/>
  <c r="AN76" i="22" s="1"/>
  <c r="AW76" i="22"/>
  <c r="V76" i="22"/>
  <c r="V80" i="22"/>
  <c r="AI80" i="22"/>
  <c r="AJ80" i="22" s="1"/>
  <c r="AF80" i="22"/>
  <c r="AW80" i="22"/>
  <c r="AG80" i="22"/>
  <c r="AH80" i="22" s="1"/>
  <c r="X80" i="22"/>
  <c r="W80" i="22"/>
  <c r="AU80" i="22"/>
  <c r="AV80" i="22" s="1"/>
  <c r="AB80" i="22"/>
  <c r="H80" i="22" s="1"/>
  <c r="AN80" i="22" s="1"/>
  <c r="T80" i="22"/>
  <c r="AB84" i="22"/>
  <c r="H84" i="22" s="1"/>
  <c r="AN84" i="22" s="1"/>
  <c r="T84" i="22"/>
  <c r="AG84" i="22"/>
  <c r="AH84" i="22" s="1"/>
  <c r="W84" i="22"/>
  <c r="X84" i="22"/>
  <c r="AF84" i="22"/>
  <c r="AI84" i="22"/>
  <c r="AJ84" i="22" s="1"/>
  <c r="AW84" i="22"/>
  <c r="V84" i="22"/>
  <c r="AU84" i="22"/>
  <c r="AV84" i="22" s="1"/>
  <c r="AC84" i="22"/>
  <c r="AD84" i="22" s="1"/>
  <c r="E68" i="22"/>
  <c r="E67" i="22"/>
  <c r="E66" i="22"/>
  <c r="O32" i="21"/>
  <c r="T79" i="21"/>
  <c r="AU79" i="21"/>
  <c r="AV79" i="21" s="1"/>
  <c r="AG79" i="21"/>
  <c r="AH79" i="21" s="1"/>
  <c r="AB79" i="21"/>
  <c r="H79" i="21" s="1"/>
  <c r="AN79" i="21" s="1"/>
  <c r="AW79" i="21"/>
  <c r="E79" i="21"/>
  <c r="AF79" i="21"/>
  <c r="AI79" i="21"/>
  <c r="AJ79" i="21" s="1"/>
  <c r="T69" i="21"/>
  <c r="AU69" i="21"/>
  <c r="AV69" i="21" s="1"/>
  <c r="AB69" i="21"/>
  <c r="AW69" i="21"/>
  <c r="AC69" i="21"/>
  <c r="E69" i="21"/>
  <c r="AF69" i="21"/>
  <c r="AG69" i="21"/>
  <c r="AH69" i="21" s="1"/>
  <c r="AI69" i="21"/>
  <c r="AJ69" i="21" s="1"/>
  <c r="E73" i="21"/>
  <c r="AU73" i="21"/>
  <c r="AV73" i="21" s="1"/>
  <c r="AW73" i="21"/>
  <c r="AF73" i="21"/>
  <c r="AG73" i="21"/>
  <c r="AH73" i="21" s="1"/>
  <c r="T73" i="21"/>
  <c r="AB73" i="21"/>
  <c r="H73" i="21" s="1"/>
  <c r="AN73" i="21" s="1"/>
  <c r="AI73" i="21"/>
  <c r="AJ73" i="21" s="1"/>
  <c r="AB77" i="21"/>
  <c r="AW77" i="21"/>
  <c r="AC77" i="21"/>
  <c r="E77" i="21"/>
  <c r="AF77" i="21"/>
  <c r="AU77" i="21"/>
  <c r="AV77" i="21" s="1"/>
  <c r="AG77" i="21"/>
  <c r="AH77" i="21" s="1"/>
  <c r="T77" i="21"/>
  <c r="AI77" i="21"/>
  <c r="AJ77" i="21" s="1"/>
  <c r="T74" i="21"/>
  <c r="AU74" i="21"/>
  <c r="AV74" i="21" s="1"/>
  <c r="AB74" i="21"/>
  <c r="AW74" i="21"/>
  <c r="AC74" i="21"/>
  <c r="AF74" i="21"/>
  <c r="AG74" i="21"/>
  <c r="AH74" i="21" s="1"/>
  <c r="AI74" i="21"/>
  <c r="AJ74" i="21" s="1"/>
  <c r="AF68" i="21"/>
  <c r="AG68" i="21"/>
  <c r="AH68" i="21" s="1"/>
  <c r="AB68" i="21"/>
  <c r="H68" i="21" s="1"/>
  <c r="AN68" i="21" s="1"/>
  <c r="AC68" i="21"/>
  <c r="T68" i="21"/>
  <c r="AU68" i="21"/>
  <c r="AV68" i="21" s="1"/>
  <c r="AW68" i="21"/>
  <c r="E68" i="21"/>
  <c r="AI68" i="21"/>
  <c r="AJ68" i="21" s="1"/>
  <c r="AF81" i="21"/>
  <c r="AG81" i="21"/>
  <c r="AH81" i="21" s="1"/>
  <c r="AW81" i="21"/>
  <c r="AB81" i="21"/>
  <c r="H81" i="21" s="1"/>
  <c r="AN81" i="21" s="1"/>
  <c r="E81" i="21"/>
  <c r="T81" i="21"/>
  <c r="AU81" i="21"/>
  <c r="AV81" i="21" s="1"/>
  <c r="AI81" i="21"/>
  <c r="AJ81" i="21" s="1"/>
  <c r="T82" i="21"/>
  <c r="AU82" i="21"/>
  <c r="AV82" i="21" s="1"/>
  <c r="AB82" i="21"/>
  <c r="H82" i="21" s="1"/>
  <c r="AN82" i="21" s="1"/>
  <c r="AW82" i="21"/>
  <c r="AC82" i="21"/>
  <c r="E82" i="21"/>
  <c r="AF82" i="21"/>
  <c r="AG82" i="21"/>
  <c r="AH82" i="21" s="1"/>
  <c r="AI82" i="21"/>
  <c r="AJ82" i="21" s="1"/>
  <c r="AG71" i="21"/>
  <c r="AH71" i="21" s="1"/>
  <c r="T71" i="21"/>
  <c r="AU71" i="21"/>
  <c r="AV71" i="21" s="1"/>
  <c r="AF71" i="21"/>
  <c r="AB71" i="21"/>
  <c r="H71" i="21" s="1"/>
  <c r="AN71" i="21" s="1"/>
  <c r="AW71" i="21"/>
  <c r="E71" i="21"/>
  <c r="AI71" i="21"/>
  <c r="AJ71" i="21" s="1"/>
  <c r="AG75" i="21"/>
  <c r="AH75" i="21" s="1"/>
  <c r="AF75" i="21"/>
  <c r="T75" i="21"/>
  <c r="AU75" i="21"/>
  <c r="AV75" i="21" s="1"/>
  <c r="AB75" i="21"/>
  <c r="H75" i="21" s="1"/>
  <c r="AN75" i="21" s="1"/>
  <c r="AW75" i="21"/>
  <c r="E75" i="21"/>
  <c r="AI75" i="21"/>
  <c r="AJ75" i="21" s="1"/>
  <c r="AW85" i="21"/>
  <c r="AG85" i="21"/>
  <c r="AH85" i="21" s="1"/>
  <c r="AU85" i="21"/>
  <c r="AV85" i="21" s="1"/>
  <c r="AB85" i="21"/>
  <c r="T85" i="21"/>
  <c r="E85" i="21"/>
  <c r="AF85" i="21"/>
  <c r="AI85" i="21"/>
  <c r="AJ85" i="21" s="1"/>
  <c r="AG84" i="21"/>
  <c r="AH84" i="21" s="1"/>
  <c r="AU84" i="21"/>
  <c r="AV84" i="21" s="1"/>
  <c r="AB84" i="21"/>
  <c r="H84" i="21" s="1"/>
  <c r="AN84" i="21" s="1"/>
  <c r="T84" i="21"/>
  <c r="AW84" i="21"/>
  <c r="AC84" i="21"/>
  <c r="E84" i="21"/>
  <c r="AF84" i="21"/>
  <c r="AI84" i="21"/>
  <c r="AJ84" i="21" s="1"/>
  <c r="AG83" i="21"/>
  <c r="AH83" i="21" s="1"/>
  <c r="AU83" i="21"/>
  <c r="AV83" i="21" s="1"/>
  <c r="T83" i="21"/>
  <c r="AB83" i="21"/>
  <c r="H83" i="21" s="1"/>
  <c r="AN83" i="21" s="1"/>
  <c r="AW83" i="21"/>
  <c r="AF83" i="21"/>
  <c r="AC83" i="21"/>
  <c r="E83" i="21"/>
  <c r="AI83" i="21"/>
  <c r="AJ83" i="21" s="1"/>
  <c r="AC80" i="21"/>
  <c r="E80" i="21"/>
  <c r="AF80" i="21"/>
  <c r="AG80" i="21"/>
  <c r="AH80" i="21" s="1"/>
  <c r="T80" i="21"/>
  <c r="AU80" i="21"/>
  <c r="AV80" i="21" s="1"/>
  <c r="AB80" i="21"/>
  <c r="H80" i="21" s="1"/>
  <c r="AN80" i="21" s="1"/>
  <c r="AW80" i="21"/>
  <c r="AI80" i="21"/>
  <c r="AJ80" i="21" s="1"/>
  <c r="AB78" i="21"/>
  <c r="E78" i="21"/>
  <c r="T78" i="21"/>
  <c r="AU78" i="21"/>
  <c r="AV78" i="21" s="1"/>
  <c r="AW78" i="21"/>
  <c r="AC78" i="21"/>
  <c r="AF78" i="21"/>
  <c r="AG78" i="21"/>
  <c r="AH78" i="21" s="1"/>
  <c r="AI78" i="21"/>
  <c r="AJ78" i="21" s="1"/>
  <c r="L78" i="21" s="1"/>
  <c r="T76" i="21"/>
  <c r="AU76" i="21"/>
  <c r="AV76" i="21" s="1"/>
  <c r="AB76" i="21"/>
  <c r="H76" i="21" s="1"/>
  <c r="AN76" i="21" s="1"/>
  <c r="AW76" i="21"/>
  <c r="AC76" i="21"/>
  <c r="E76" i="21"/>
  <c r="AF76" i="21"/>
  <c r="AG76" i="21"/>
  <c r="AH76" i="21" s="1"/>
  <c r="AI76" i="21"/>
  <c r="AJ76" i="21" s="1"/>
  <c r="AB72" i="21"/>
  <c r="AW72" i="21"/>
  <c r="AC72" i="21"/>
  <c r="AF72" i="21"/>
  <c r="AG72" i="21"/>
  <c r="AH72" i="21" s="1"/>
  <c r="T72" i="21"/>
  <c r="AU72" i="21"/>
  <c r="AV72" i="21" s="1"/>
  <c r="E72" i="21"/>
  <c r="AI72" i="21"/>
  <c r="AJ72" i="21" s="1"/>
  <c r="AG70" i="21"/>
  <c r="AH70" i="21" s="1"/>
  <c r="T70" i="21"/>
  <c r="AU70" i="21"/>
  <c r="AV70" i="21" s="1"/>
  <c r="AB70" i="21"/>
  <c r="H70" i="21" s="1"/>
  <c r="AN70" i="21" s="1"/>
  <c r="AW70" i="21"/>
  <c r="AC70" i="21"/>
  <c r="E70" i="21"/>
  <c r="AF70" i="21"/>
  <c r="AI70" i="21"/>
  <c r="AJ70" i="21" s="1"/>
  <c r="V70" i="21"/>
  <c r="V85" i="21"/>
  <c r="AU67" i="21"/>
  <c r="AV67" i="21" s="1"/>
  <c r="AB67" i="21"/>
  <c r="H67" i="21" s="1"/>
  <c r="AN67" i="21" s="1"/>
  <c r="AW67" i="21"/>
  <c r="E67" i="21"/>
  <c r="T67" i="21"/>
  <c r="AF67" i="21"/>
  <c r="AG67" i="21"/>
  <c r="AH67" i="21" s="1"/>
  <c r="AI67" i="21"/>
  <c r="AJ67" i="21" s="1"/>
  <c r="AI71" i="22"/>
  <c r="AJ71" i="22" s="1"/>
  <c r="AG71" i="22"/>
  <c r="AH71" i="22" s="1"/>
  <c r="X71" i="22"/>
  <c r="AF71" i="22"/>
  <c r="W71" i="22"/>
  <c r="AW71" i="22"/>
  <c r="V71" i="22"/>
  <c r="AU71" i="22"/>
  <c r="AV71" i="22" s="1"/>
  <c r="AC71" i="22"/>
  <c r="AD71" i="22" s="1"/>
  <c r="AB71" i="22"/>
  <c r="H71" i="22" s="1"/>
  <c r="AN71" i="22" s="1"/>
  <c r="T71" i="22"/>
  <c r="AU70" i="22"/>
  <c r="AV70" i="22" s="1"/>
  <c r="AC70" i="22"/>
  <c r="AD70" i="22" s="1"/>
  <c r="AB70" i="22"/>
  <c r="H70" i="22" s="1"/>
  <c r="AN70" i="22" s="1"/>
  <c r="T70" i="22"/>
  <c r="AI70" i="22"/>
  <c r="AJ70" i="22" s="1"/>
  <c r="X70" i="22"/>
  <c r="AW70" i="22"/>
  <c r="V70" i="22"/>
  <c r="AG70" i="22"/>
  <c r="AH70" i="22" s="1"/>
  <c r="W70" i="22"/>
  <c r="AF70" i="22"/>
  <c r="AU69" i="22"/>
  <c r="AV69" i="22" s="1"/>
  <c r="AB69" i="22"/>
  <c r="H69" i="22" s="1"/>
  <c r="AN69" i="22" s="1"/>
  <c r="T69" i="22"/>
  <c r="X69" i="22"/>
  <c r="AG69" i="22"/>
  <c r="AH69" i="22" s="1"/>
  <c r="W69" i="22"/>
  <c r="AW69" i="22"/>
  <c r="AF69" i="22"/>
  <c r="V69" i="22"/>
  <c r="AI69" i="22"/>
  <c r="AJ69" i="22" s="1"/>
  <c r="AI68" i="22"/>
  <c r="AJ68" i="22" s="1"/>
  <c r="X68" i="22"/>
  <c r="AG68" i="22"/>
  <c r="AH68" i="22" s="1"/>
  <c r="W68" i="22"/>
  <c r="AW68" i="22"/>
  <c r="AF68" i="22"/>
  <c r="V68" i="22"/>
  <c r="AU68" i="22"/>
  <c r="AV68" i="22" s="1"/>
  <c r="AC68" i="22"/>
  <c r="AD68" i="22" s="1"/>
  <c r="AB68" i="22"/>
  <c r="H68" i="22" s="1"/>
  <c r="AN68" i="22" s="1"/>
  <c r="T68" i="22"/>
  <c r="AG13" i="22"/>
  <c r="AB67" i="22"/>
  <c r="H67" i="22" s="1"/>
  <c r="AN67" i="22" s="1"/>
  <c r="AI67" i="22"/>
  <c r="AJ67" i="22" s="1"/>
  <c r="X67" i="22"/>
  <c r="AG67" i="22"/>
  <c r="W67" i="22"/>
  <c r="AW67" i="22"/>
  <c r="AF67" i="22"/>
  <c r="V67" i="22"/>
  <c r="T67" i="22"/>
  <c r="AU67" i="22"/>
  <c r="AV67" i="22" s="1"/>
  <c r="AC67" i="22"/>
  <c r="AD67" i="22" s="1"/>
  <c r="AB66" i="22"/>
  <c r="H66" i="22" s="1"/>
  <c r="AN66" i="22" s="1"/>
  <c r="AI66" i="22"/>
  <c r="AJ66" i="22" s="1"/>
  <c r="AG66" i="22"/>
  <c r="AH66" i="22" s="1"/>
  <c r="AF66" i="22"/>
  <c r="X66" i="22"/>
  <c r="AW66" i="22"/>
  <c r="W66" i="22"/>
  <c r="AU66" i="22"/>
  <c r="AV66" i="22" s="1"/>
  <c r="AC66" i="22"/>
  <c r="AD66" i="22" s="1"/>
  <c r="U66" i="22"/>
  <c r="T66" i="22"/>
  <c r="X23" i="21"/>
  <c r="W78" i="21"/>
  <c r="X14" i="21"/>
  <c r="N14" i="21" s="1"/>
  <c r="W69" i="21"/>
  <c r="X22" i="21"/>
  <c r="W77" i="21"/>
  <c r="X19" i="21"/>
  <c r="W74" i="21"/>
  <c r="X13" i="21"/>
  <c r="N13" i="21" s="1"/>
  <c r="W68" i="21"/>
  <c r="X25" i="21"/>
  <c r="W80" i="21"/>
  <c r="X30" i="21"/>
  <c r="W85" i="21"/>
  <c r="X15" i="21"/>
  <c r="W70" i="21"/>
  <c r="X27" i="21"/>
  <c r="W82" i="21"/>
  <c r="X26" i="21"/>
  <c r="W81" i="21"/>
  <c r="X21" i="21"/>
  <c r="W76" i="21"/>
  <c r="X18" i="21"/>
  <c r="W73" i="21"/>
  <c r="X12" i="21"/>
  <c r="W67" i="21"/>
  <c r="X16" i="21"/>
  <c r="W71" i="21"/>
  <c r="X20" i="21"/>
  <c r="W75" i="21"/>
  <c r="X24" i="21"/>
  <c r="W79" i="21"/>
  <c r="X29" i="21"/>
  <c r="W84" i="21"/>
  <c r="X17" i="21"/>
  <c r="W72" i="21"/>
  <c r="X28" i="21"/>
  <c r="W83" i="21"/>
  <c r="H85" i="21"/>
  <c r="AN85" i="21" s="1"/>
  <c r="H78" i="21"/>
  <c r="AN78" i="21" s="1"/>
  <c r="H77" i="21"/>
  <c r="AN77" i="21" s="1"/>
  <c r="H74" i="21"/>
  <c r="AN74" i="21" s="1"/>
  <c r="H72" i="21"/>
  <c r="AN72" i="21" s="1"/>
  <c r="H69" i="21"/>
  <c r="AN69" i="21" s="1"/>
  <c r="X66" i="21"/>
  <c r="AF66" i="21"/>
  <c r="W66" i="21"/>
  <c r="AC66" i="21"/>
  <c r="AU66" i="21"/>
  <c r="AV66" i="21" s="1"/>
  <c r="AB66" i="21"/>
  <c r="H66" i="21" s="1"/>
  <c r="AN66" i="21" s="1"/>
  <c r="E66" i="21"/>
  <c r="AW66" i="21"/>
  <c r="AI66" i="21"/>
  <c r="AJ66" i="21" s="1"/>
  <c r="C77" i="22"/>
  <c r="AD20" i="21"/>
  <c r="AC75" i="21" s="1"/>
  <c r="E74" i="21"/>
  <c r="AC27" i="22"/>
  <c r="AC49" i="22"/>
  <c r="AC17" i="22"/>
  <c r="AD25" i="22"/>
  <c r="N25" i="22" s="1"/>
  <c r="C68" i="22"/>
  <c r="C70" i="21"/>
  <c r="C67" i="21"/>
  <c r="AC41" i="22"/>
  <c r="C83" i="22"/>
  <c r="AC45" i="22"/>
  <c r="AC54" i="22"/>
  <c r="AC19" i="22"/>
  <c r="AC44" i="22"/>
  <c r="AC48" i="22"/>
  <c r="AC52" i="22"/>
  <c r="AC13" i="22"/>
  <c r="AC56" i="22"/>
  <c r="C71" i="22"/>
  <c r="AC15" i="22"/>
  <c r="I86" i="22"/>
  <c r="C79" i="22"/>
  <c r="V11" i="22"/>
  <c r="AH11" i="22"/>
  <c r="AC58" i="22"/>
  <c r="C81" i="22"/>
  <c r="C73" i="22"/>
  <c r="AC40" i="22"/>
  <c r="AC42" i="22"/>
  <c r="AC46" i="22"/>
  <c r="AC50" i="22"/>
  <c r="AC57" i="22"/>
  <c r="AC21" i="22"/>
  <c r="AC23" i="22"/>
  <c r="C82" i="22"/>
  <c r="AC11" i="22"/>
  <c r="AC29" i="22"/>
  <c r="C70" i="22"/>
  <c r="O32" i="22"/>
  <c r="AD24" i="21"/>
  <c r="AC79" i="21" s="1"/>
  <c r="V84" i="21"/>
  <c r="C79" i="21"/>
  <c r="AD22" i="21"/>
  <c r="AD18" i="21"/>
  <c r="AC73" i="21" s="1"/>
  <c r="V82" i="21"/>
  <c r="C77" i="21"/>
  <c r="C81" i="21"/>
  <c r="AD30" i="21"/>
  <c r="AC85" i="21" s="1"/>
  <c r="V81" i="21"/>
  <c r="V83" i="21"/>
  <c r="V77" i="21"/>
  <c r="V78" i="21"/>
  <c r="V79" i="21"/>
  <c r="V80" i="21"/>
  <c r="AD16" i="21"/>
  <c r="AC71" i="21" s="1"/>
  <c r="V73" i="21"/>
  <c r="V74" i="21"/>
  <c r="V75" i="21"/>
  <c r="V76" i="21"/>
  <c r="V72" i="21"/>
  <c r="C85" i="21"/>
  <c r="AD26" i="21"/>
  <c r="AC81" i="21" s="1"/>
  <c r="AC28" i="21"/>
  <c r="C71" i="21"/>
  <c r="C83" i="21"/>
  <c r="C73" i="21"/>
  <c r="AC12" i="21"/>
  <c r="C69" i="21"/>
  <c r="AD12" i="21"/>
  <c r="AC67" i="21" s="1"/>
  <c r="I86" i="21"/>
  <c r="AC22" i="22"/>
  <c r="AD14" i="22"/>
  <c r="N14" i="22" s="1"/>
  <c r="AD18" i="22"/>
  <c r="N18" i="22" s="1"/>
  <c r="AD26" i="22"/>
  <c r="N26" i="22" s="1"/>
  <c r="AD30" i="22"/>
  <c r="N30" i="22" s="1"/>
  <c r="AC39" i="22"/>
  <c r="AC43" i="22"/>
  <c r="AC47" i="22"/>
  <c r="AC51" i="22"/>
  <c r="AC55" i="22"/>
  <c r="C66" i="22"/>
  <c r="C80" i="22"/>
  <c r="AC14" i="22"/>
  <c r="AC12" i="22"/>
  <c r="AC16" i="22"/>
  <c r="AC20" i="22"/>
  <c r="AC24" i="22"/>
  <c r="AC28" i="22"/>
  <c r="M31" i="22"/>
  <c r="C69" i="22"/>
  <c r="C67" i="22"/>
  <c r="C72" i="22"/>
  <c r="C74" i="22"/>
  <c r="C78" i="22"/>
  <c r="C75" i="22"/>
  <c r="C76" i="22"/>
  <c r="C84" i="22"/>
  <c r="AG11" i="21"/>
  <c r="AC13" i="21"/>
  <c r="AC17" i="21"/>
  <c r="AC21" i="21"/>
  <c r="AC25" i="21"/>
  <c r="AC29" i="21"/>
  <c r="C74" i="21"/>
  <c r="C68" i="21"/>
  <c r="C76" i="21"/>
  <c r="AC14" i="21"/>
  <c r="C78" i="21"/>
  <c r="AC15" i="21"/>
  <c r="AC19" i="21"/>
  <c r="AC23" i="21"/>
  <c r="AC27" i="21"/>
  <c r="AC39" i="21"/>
  <c r="AC40" i="21"/>
  <c r="AC41" i="21"/>
  <c r="AC42" i="21"/>
  <c r="AC43" i="21"/>
  <c r="AC44" i="21"/>
  <c r="AC45" i="21"/>
  <c r="AC46" i="21"/>
  <c r="AC47" i="21"/>
  <c r="AC48" i="21"/>
  <c r="AC49" i="21"/>
  <c r="AC50" i="21"/>
  <c r="AC51" i="21"/>
  <c r="AC52" i="21"/>
  <c r="AC53" i="21"/>
  <c r="AC54" i="21"/>
  <c r="AC55" i="21"/>
  <c r="AC56" i="21"/>
  <c r="AC57" i="21"/>
  <c r="AC58" i="21"/>
  <c r="C72" i="21"/>
  <c r="C75" i="21"/>
  <c r="AC11" i="21"/>
  <c r="C66" i="21"/>
  <c r="C80" i="21"/>
  <c r="C82" i="21"/>
  <c r="C84" i="21"/>
  <c r="AR11" i="22" l="1"/>
  <c r="L11" i="22"/>
  <c r="N11" i="22"/>
  <c r="AF11" i="22"/>
  <c r="AC80" i="22"/>
  <c r="AD80" i="22" s="1"/>
  <c r="AC85" i="22"/>
  <c r="AC73" i="22"/>
  <c r="AC81" i="22"/>
  <c r="AE72" i="22"/>
  <c r="AR30" i="22"/>
  <c r="L12" i="21"/>
  <c r="F106" i="21"/>
  <c r="G106" i="21" s="1"/>
  <c r="F107" i="21"/>
  <c r="G107" i="21" s="1"/>
  <c r="L59" i="21"/>
  <c r="P3" i="21" s="1"/>
  <c r="F104" i="21"/>
  <c r="F103" i="22"/>
  <c r="V66" i="21"/>
  <c r="N11" i="21"/>
  <c r="L11" i="21"/>
  <c r="E105" i="21" s="1"/>
  <c r="AE83" i="22"/>
  <c r="AE82" i="22"/>
  <c r="AE80" i="22"/>
  <c r="AE79" i="22"/>
  <c r="AE78" i="22"/>
  <c r="AE77" i="22"/>
  <c r="AE76" i="22"/>
  <c r="AE75" i="22"/>
  <c r="AE74" i="22"/>
  <c r="AE71" i="22"/>
  <c r="AE70" i="22"/>
  <c r="AE68" i="22"/>
  <c r="AC69" i="22"/>
  <c r="AD84" i="21"/>
  <c r="AE84" i="21" s="1"/>
  <c r="X85" i="21"/>
  <c r="L85" i="21" s="1"/>
  <c r="AF30" i="21"/>
  <c r="AE30" i="21"/>
  <c r="X84" i="21"/>
  <c r="L84" i="21" s="1"/>
  <c r="M84" i="21" s="1"/>
  <c r="AF29" i="21"/>
  <c r="AE29" i="21"/>
  <c r="X83" i="21"/>
  <c r="L83" i="21" s="1"/>
  <c r="AF28" i="21"/>
  <c r="AE28" i="21"/>
  <c r="X82" i="21"/>
  <c r="L82" i="21" s="1"/>
  <c r="AF27" i="21"/>
  <c r="AE27" i="21"/>
  <c r="X81" i="21"/>
  <c r="L81" i="21" s="1"/>
  <c r="AF26" i="21"/>
  <c r="AE26" i="21"/>
  <c r="X80" i="21"/>
  <c r="AD80" i="21" s="1"/>
  <c r="AE80" i="21" s="1"/>
  <c r="AF25" i="21"/>
  <c r="AE25" i="21"/>
  <c r="X79" i="21"/>
  <c r="AD79" i="21" s="1"/>
  <c r="AE79" i="21" s="1"/>
  <c r="AF24" i="21"/>
  <c r="AE24" i="21"/>
  <c r="X78" i="21"/>
  <c r="AF23" i="21"/>
  <c r="AE23" i="21"/>
  <c r="X77" i="21"/>
  <c r="AF22" i="21"/>
  <c r="AE22" i="21"/>
  <c r="X76" i="21"/>
  <c r="AF21" i="21"/>
  <c r="AE21" i="21"/>
  <c r="X75" i="21"/>
  <c r="AD75" i="21" s="1"/>
  <c r="AE75" i="21" s="1"/>
  <c r="AF20" i="21"/>
  <c r="AE20" i="21"/>
  <c r="X74" i="21"/>
  <c r="L74" i="21" s="1"/>
  <c r="AF19" i="21"/>
  <c r="AE19" i="21"/>
  <c r="X73" i="21"/>
  <c r="L73" i="21" s="1"/>
  <c r="AF18" i="21"/>
  <c r="AE18" i="21"/>
  <c r="X72" i="21"/>
  <c r="L72" i="21" s="1"/>
  <c r="AF17" i="21"/>
  <c r="AE17" i="21"/>
  <c r="X71" i="21"/>
  <c r="AF16" i="21"/>
  <c r="AE16" i="21"/>
  <c r="X70" i="21"/>
  <c r="L70" i="21" s="1"/>
  <c r="AF15" i="21"/>
  <c r="AE15" i="21"/>
  <c r="AF14" i="21"/>
  <c r="AE14" i="21"/>
  <c r="AF13" i="21"/>
  <c r="AE13" i="21"/>
  <c r="N12" i="21"/>
  <c r="AE12" i="21"/>
  <c r="F109" i="21" s="1"/>
  <c r="AF12" i="21"/>
  <c r="AF11" i="21"/>
  <c r="AD66" i="21"/>
  <c r="AE84" i="22"/>
  <c r="V69" i="21"/>
  <c r="V67" i="21"/>
  <c r="V68" i="21"/>
  <c r="X69" i="21"/>
  <c r="X68" i="21"/>
  <c r="AH67" i="22"/>
  <c r="BL84" i="22"/>
  <c r="BL72" i="22"/>
  <c r="BL70" i="22"/>
  <c r="BL83" i="22"/>
  <c r="BL75" i="22"/>
  <c r="BL82" i="22"/>
  <c r="BL79" i="22"/>
  <c r="BL85" i="22"/>
  <c r="BL71" i="22"/>
  <c r="BL81" i="22"/>
  <c r="BL67" i="22"/>
  <c r="BL76" i="22"/>
  <c r="BL80" i="22"/>
  <c r="BL77" i="22"/>
  <c r="BL73" i="22"/>
  <c r="BL78" i="22"/>
  <c r="BL68" i="22"/>
  <c r="BL66" i="22"/>
  <c r="BL69" i="22"/>
  <c r="BL74" i="22"/>
  <c r="AP75" i="22"/>
  <c r="AO75" i="22"/>
  <c r="BJ78" i="22"/>
  <c r="BJ77" i="22"/>
  <c r="BJ79" i="22"/>
  <c r="BJ68" i="22"/>
  <c r="BJ67" i="22"/>
  <c r="BJ75" i="22"/>
  <c r="BJ84" i="22"/>
  <c r="BJ73" i="22"/>
  <c r="BJ81" i="22"/>
  <c r="BJ70" i="22"/>
  <c r="BJ83" i="22"/>
  <c r="BJ74" i="22"/>
  <c r="BJ69" i="22"/>
  <c r="BJ66" i="22"/>
  <c r="BJ82" i="22"/>
  <c r="BJ72" i="22"/>
  <c r="BJ85" i="22"/>
  <c r="BJ80" i="22"/>
  <c r="BJ71" i="22"/>
  <c r="BJ76" i="22"/>
  <c r="AP81" i="22"/>
  <c r="AO81" i="22"/>
  <c r="BQ83" i="22"/>
  <c r="BQ72" i="22"/>
  <c r="BQ80" i="22"/>
  <c r="BQ70" i="22"/>
  <c r="BQ69" i="22"/>
  <c r="BQ76" i="22"/>
  <c r="BQ71" i="22"/>
  <c r="BQ73" i="22"/>
  <c r="BQ67" i="22"/>
  <c r="BQ74" i="22"/>
  <c r="BQ79" i="22"/>
  <c r="BQ85" i="22"/>
  <c r="BQ77" i="22"/>
  <c r="BQ82" i="22"/>
  <c r="BQ84" i="22"/>
  <c r="BQ68" i="22"/>
  <c r="BQ75" i="22"/>
  <c r="BQ66" i="22"/>
  <c r="BQ81" i="22"/>
  <c r="BQ78" i="22"/>
  <c r="AP73" i="22"/>
  <c r="AO73" i="22"/>
  <c r="BR78" i="22"/>
  <c r="BR76" i="22"/>
  <c r="BR72" i="22"/>
  <c r="BR67" i="22"/>
  <c r="BR77" i="22"/>
  <c r="BR79" i="22"/>
  <c r="BR73" i="22"/>
  <c r="BR70" i="22"/>
  <c r="BR68" i="22"/>
  <c r="BR84" i="22"/>
  <c r="BR75" i="22"/>
  <c r="BR81" i="22"/>
  <c r="BR66" i="22"/>
  <c r="BR83" i="22"/>
  <c r="BR74" i="22"/>
  <c r="BR80" i="22"/>
  <c r="BR69" i="22"/>
  <c r="BR82" i="22"/>
  <c r="BR71" i="22"/>
  <c r="BR85" i="22"/>
  <c r="BK81" i="22"/>
  <c r="BK71" i="22"/>
  <c r="BK70" i="22"/>
  <c r="BK67" i="22"/>
  <c r="BK73" i="22"/>
  <c r="BK82" i="22"/>
  <c r="BK74" i="22"/>
  <c r="BK83" i="22"/>
  <c r="BK85" i="22"/>
  <c r="BK76" i="22"/>
  <c r="BK80" i="22"/>
  <c r="BK79" i="22"/>
  <c r="BK75" i="22"/>
  <c r="BK78" i="22"/>
  <c r="BK72" i="22"/>
  <c r="BK66" i="22"/>
  <c r="BK84" i="22"/>
  <c r="BK68" i="22"/>
  <c r="BK69" i="22"/>
  <c r="BK77" i="22"/>
  <c r="AP78" i="22"/>
  <c r="AO78" i="22"/>
  <c r="AP83" i="22"/>
  <c r="AO83" i="22"/>
  <c r="BO85" i="22"/>
  <c r="BO70" i="22"/>
  <c r="BO76" i="22"/>
  <c r="BO74" i="22"/>
  <c r="BO83" i="22"/>
  <c r="BO72" i="22"/>
  <c r="BO80" i="22"/>
  <c r="BO69" i="22"/>
  <c r="BO66" i="22"/>
  <c r="BO82" i="22"/>
  <c r="BO73" i="22"/>
  <c r="BO71" i="22"/>
  <c r="BO68" i="22"/>
  <c r="BO81" i="22"/>
  <c r="BO84" i="22"/>
  <c r="BO75" i="22"/>
  <c r="BO79" i="22"/>
  <c r="BO67" i="22"/>
  <c r="BO78" i="22"/>
  <c r="BO77" i="22"/>
  <c r="BN82" i="22"/>
  <c r="BN77" i="22"/>
  <c r="BN78" i="22"/>
  <c r="BN85" i="22"/>
  <c r="BN84" i="22"/>
  <c r="BN66" i="22"/>
  <c r="BN71" i="22"/>
  <c r="BN83" i="22"/>
  <c r="BN80" i="22"/>
  <c r="BN75" i="22"/>
  <c r="BN68" i="22"/>
  <c r="BN67" i="22"/>
  <c r="BN70" i="22"/>
  <c r="BN73" i="22"/>
  <c r="BN69" i="22"/>
  <c r="BN81" i="22"/>
  <c r="BN74" i="22"/>
  <c r="BN76" i="22"/>
  <c r="BN72" i="22"/>
  <c r="BN79" i="22"/>
  <c r="BU85" i="22"/>
  <c r="BU68" i="22"/>
  <c r="BU83" i="22"/>
  <c r="BU66" i="22"/>
  <c r="BU81" i="22"/>
  <c r="BU84" i="22"/>
  <c r="BU77" i="22"/>
  <c r="BU72" i="22"/>
  <c r="BU69" i="22"/>
  <c r="BU79" i="22"/>
  <c r="BU74" i="22"/>
  <c r="BU76" i="22"/>
  <c r="BU70" i="22"/>
  <c r="BU71" i="22"/>
  <c r="BU67" i="22"/>
  <c r="BU78" i="22"/>
  <c r="BU80" i="22"/>
  <c r="BU73" i="22"/>
  <c r="BU75" i="22"/>
  <c r="BU82" i="22"/>
  <c r="AO84" i="22"/>
  <c r="AP84" i="22"/>
  <c r="AO80" i="22"/>
  <c r="AP80" i="22"/>
  <c r="AO72" i="22"/>
  <c r="AP72" i="22"/>
  <c r="BS84" i="22"/>
  <c r="BS81" i="22"/>
  <c r="BS80" i="22"/>
  <c r="BS83" i="22"/>
  <c r="BS76" i="22"/>
  <c r="BS66" i="22"/>
  <c r="BS78" i="22"/>
  <c r="BS77" i="22"/>
  <c r="BS70" i="22"/>
  <c r="BS69" i="22"/>
  <c r="BS71" i="22"/>
  <c r="BS85" i="22"/>
  <c r="BS82" i="22"/>
  <c r="BS79" i="22"/>
  <c r="BS72" i="22"/>
  <c r="BS67" i="22"/>
  <c r="BS68" i="22"/>
  <c r="BS73" i="22"/>
  <c r="BS74" i="22"/>
  <c r="BS75" i="22"/>
  <c r="AP79" i="22"/>
  <c r="AO79" i="22"/>
  <c r="AP85" i="22"/>
  <c r="AO85" i="22"/>
  <c r="BI83" i="22"/>
  <c r="BI68" i="22"/>
  <c r="BI71" i="22"/>
  <c r="BI76" i="22"/>
  <c r="BI66" i="22"/>
  <c r="BI67" i="22"/>
  <c r="BI79" i="22"/>
  <c r="BI69" i="22"/>
  <c r="BI75" i="22"/>
  <c r="BI82" i="22"/>
  <c r="BI84" i="22"/>
  <c r="BI74" i="22"/>
  <c r="BI73" i="22"/>
  <c r="BI85" i="22"/>
  <c r="BI77" i="22"/>
  <c r="BI81" i="22"/>
  <c r="BI78" i="22"/>
  <c r="BI72" i="22"/>
  <c r="BI80" i="22"/>
  <c r="BI70" i="22"/>
  <c r="BT84" i="22"/>
  <c r="BT76" i="22"/>
  <c r="BT68" i="22"/>
  <c r="BT70" i="22"/>
  <c r="BT79" i="22"/>
  <c r="BT78" i="22"/>
  <c r="BT77" i="22"/>
  <c r="BT80" i="22"/>
  <c r="BT69" i="22"/>
  <c r="BT83" i="22"/>
  <c r="BT72" i="22"/>
  <c r="BT82" i="22"/>
  <c r="BT67" i="22"/>
  <c r="BT71" i="22"/>
  <c r="BT66" i="22"/>
  <c r="BT75" i="22"/>
  <c r="BT74" i="22"/>
  <c r="BT73" i="22"/>
  <c r="BT85" i="22"/>
  <c r="BT81" i="22"/>
  <c r="AP77" i="22"/>
  <c r="AO77" i="22"/>
  <c r="AP76" i="22"/>
  <c r="AO76" i="22"/>
  <c r="BP80" i="22"/>
  <c r="BP81" i="22"/>
  <c r="BP67" i="22"/>
  <c r="BP78" i="22"/>
  <c r="BP69" i="22"/>
  <c r="BP68" i="22"/>
  <c r="BP84" i="22"/>
  <c r="BP74" i="22"/>
  <c r="BP66" i="22"/>
  <c r="BP79" i="22"/>
  <c r="BP75" i="22"/>
  <c r="BP70" i="22"/>
  <c r="BP72" i="22"/>
  <c r="BP82" i="22"/>
  <c r="BP77" i="22"/>
  <c r="BP71" i="22"/>
  <c r="BP76" i="22"/>
  <c r="BP83" i="22"/>
  <c r="BP73" i="22"/>
  <c r="BP85" i="22"/>
  <c r="BH80" i="22"/>
  <c r="BH81" i="22"/>
  <c r="BH67" i="22"/>
  <c r="BH84" i="22"/>
  <c r="BH71" i="22"/>
  <c r="BH68" i="22"/>
  <c r="BH74" i="22"/>
  <c r="BH70" i="22"/>
  <c r="BH78" i="22"/>
  <c r="BH66" i="22"/>
  <c r="BH69" i="22"/>
  <c r="BH77" i="22"/>
  <c r="BH75" i="22"/>
  <c r="BH72" i="22"/>
  <c r="BH82" i="22"/>
  <c r="BH85" i="22"/>
  <c r="BH76" i="22"/>
  <c r="BH83" i="22"/>
  <c r="BH73" i="22"/>
  <c r="BH79" i="22"/>
  <c r="AP82" i="22"/>
  <c r="AO82" i="22"/>
  <c r="AP74" i="22"/>
  <c r="AO74" i="22"/>
  <c r="BM79" i="22"/>
  <c r="BM83" i="22"/>
  <c r="BM66" i="22"/>
  <c r="BM73" i="22"/>
  <c r="BM67" i="22"/>
  <c r="BM77" i="22"/>
  <c r="BM72" i="22"/>
  <c r="BM76" i="22"/>
  <c r="BM69" i="22"/>
  <c r="BM70" i="22"/>
  <c r="BM78" i="22"/>
  <c r="BM75" i="22"/>
  <c r="BM82" i="22"/>
  <c r="BM71" i="22"/>
  <c r="BM84" i="22"/>
  <c r="BM85" i="22"/>
  <c r="BM68" i="22"/>
  <c r="BM74" i="22"/>
  <c r="BM81" i="22"/>
  <c r="BM80" i="22"/>
  <c r="X67" i="21"/>
  <c r="BE76" i="21"/>
  <c r="BE66" i="21"/>
  <c r="BE78" i="21"/>
  <c r="BE85" i="21"/>
  <c r="BE81" i="21"/>
  <c r="BE84" i="21"/>
  <c r="BE80" i="21"/>
  <c r="BE74" i="21"/>
  <c r="BE79" i="21"/>
  <c r="BE83" i="21"/>
  <c r="BE75" i="21"/>
  <c r="BE67" i="21"/>
  <c r="BE77" i="21"/>
  <c r="BE73" i="21"/>
  <c r="BE72" i="21"/>
  <c r="BE69" i="21"/>
  <c r="BE70" i="21"/>
  <c r="BE71" i="21"/>
  <c r="BE68" i="21"/>
  <c r="BE82" i="21"/>
  <c r="BO72" i="21"/>
  <c r="BO82" i="21"/>
  <c r="BO66" i="21"/>
  <c r="BO85" i="21"/>
  <c r="BO70" i="21"/>
  <c r="BO80" i="21"/>
  <c r="BO79" i="21"/>
  <c r="BO78" i="21"/>
  <c r="BO84" i="21"/>
  <c r="BO68" i="21"/>
  <c r="BO83" i="21"/>
  <c r="BO71" i="21"/>
  <c r="BO73" i="21"/>
  <c r="BO77" i="21"/>
  <c r="BO67" i="21"/>
  <c r="BO74" i="21"/>
  <c r="BO76" i="21"/>
  <c r="BO75" i="21"/>
  <c r="BO81" i="21"/>
  <c r="BO69" i="21"/>
  <c r="BK67" i="21"/>
  <c r="BK82" i="21"/>
  <c r="BK80" i="21"/>
  <c r="BK84" i="21"/>
  <c r="BK75" i="21"/>
  <c r="BK78" i="21"/>
  <c r="BK81" i="21"/>
  <c r="BK71" i="21"/>
  <c r="BK68" i="21"/>
  <c r="BK70" i="21"/>
  <c r="BK85" i="21"/>
  <c r="BK83" i="21"/>
  <c r="BK74" i="21"/>
  <c r="BK69" i="21"/>
  <c r="BK66" i="21"/>
  <c r="BK76" i="21"/>
  <c r="BK72" i="21"/>
  <c r="BK73" i="21"/>
  <c r="BK77" i="21"/>
  <c r="BK79" i="21"/>
  <c r="BD67" i="21"/>
  <c r="BD78" i="21"/>
  <c r="BD83" i="21"/>
  <c r="BD76" i="21"/>
  <c r="BD81" i="21"/>
  <c r="BD74" i="21"/>
  <c r="BD79" i="21"/>
  <c r="BD66" i="21"/>
  <c r="BD80" i="21"/>
  <c r="BD85" i="21"/>
  <c r="BD69" i="21"/>
  <c r="BD72" i="21"/>
  <c r="BD77" i="21"/>
  <c r="BD82" i="21"/>
  <c r="BD70" i="21"/>
  <c r="BD75" i="21"/>
  <c r="BD71" i="21"/>
  <c r="BD84" i="21"/>
  <c r="BD68" i="21"/>
  <c r="BD73" i="21"/>
  <c r="BM71" i="21"/>
  <c r="BM76" i="21"/>
  <c r="BM77" i="21"/>
  <c r="BM81" i="21"/>
  <c r="BM72" i="21"/>
  <c r="BM82" i="21"/>
  <c r="BM75" i="21"/>
  <c r="BM70" i="21"/>
  <c r="BM73" i="21"/>
  <c r="BM78" i="21"/>
  <c r="BM67" i="21"/>
  <c r="BM79" i="21"/>
  <c r="BM68" i="21"/>
  <c r="BM74" i="21"/>
  <c r="BM84" i="21"/>
  <c r="BM85" i="21"/>
  <c r="BM80" i="21"/>
  <c r="BM83" i="21"/>
  <c r="BM69" i="21"/>
  <c r="BM66" i="21"/>
  <c r="BJ73" i="21"/>
  <c r="BJ66" i="21"/>
  <c r="BJ68" i="21"/>
  <c r="BJ85" i="21"/>
  <c r="BJ82" i="21"/>
  <c r="BJ72" i="21"/>
  <c r="BJ84" i="21"/>
  <c r="BJ80" i="21"/>
  <c r="BJ69" i="21"/>
  <c r="BJ79" i="21"/>
  <c r="BJ78" i="21"/>
  <c r="BJ67" i="21"/>
  <c r="BJ70" i="21"/>
  <c r="BJ76" i="21"/>
  <c r="BJ74" i="21"/>
  <c r="BJ77" i="21"/>
  <c r="BJ71" i="21"/>
  <c r="BJ83" i="21"/>
  <c r="BJ75" i="21"/>
  <c r="BJ81" i="21"/>
  <c r="BI66" i="21"/>
  <c r="BI83" i="21"/>
  <c r="BI76" i="21"/>
  <c r="BI72" i="21"/>
  <c r="BI81" i="21"/>
  <c r="BI71" i="21"/>
  <c r="BI69" i="21"/>
  <c r="BI70" i="21"/>
  <c r="BI80" i="21"/>
  <c r="BI77" i="21"/>
  <c r="BI73" i="21"/>
  <c r="BI68" i="21"/>
  <c r="BI84" i="21"/>
  <c r="BI79" i="21"/>
  <c r="BI78" i="21"/>
  <c r="BI67" i="21"/>
  <c r="BI75" i="21"/>
  <c r="BI82" i="21"/>
  <c r="BI85" i="21"/>
  <c r="BI74" i="21"/>
  <c r="BQ66" i="21"/>
  <c r="BQ76" i="21"/>
  <c r="BQ68" i="21"/>
  <c r="BQ77" i="21"/>
  <c r="BQ75" i="21"/>
  <c r="BQ71" i="21"/>
  <c r="BQ72" i="21"/>
  <c r="BQ69" i="21"/>
  <c r="BQ85" i="21"/>
  <c r="BQ67" i="21"/>
  <c r="BQ80" i="21"/>
  <c r="BQ84" i="21"/>
  <c r="BQ83" i="21"/>
  <c r="BQ73" i="21"/>
  <c r="BQ74" i="21"/>
  <c r="BQ79" i="21"/>
  <c r="BQ70" i="21"/>
  <c r="BQ82" i="21"/>
  <c r="BQ81" i="21"/>
  <c r="BQ78" i="21"/>
  <c r="BG69" i="21"/>
  <c r="BG66" i="21"/>
  <c r="BG77" i="21"/>
  <c r="BG85" i="21"/>
  <c r="BG75" i="21"/>
  <c r="BG73" i="21"/>
  <c r="BG76" i="21"/>
  <c r="BG84" i="21"/>
  <c r="BG68" i="21"/>
  <c r="BG74" i="21"/>
  <c r="BG80" i="21"/>
  <c r="BG79" i="21"/>
  <c r="BG70" i="21"/>
  <c r="BG81" i="21"/>
  <c r="BG72" i="21"/>
  <c r="BG78" i="21"/>
  <c r="BG82" i="21"/>
  <c r="BG67" i="21"/>
  <c r="BG83" i="21"/>
  <c r="BG71" i="21"/>
  <c r="BR68" i="21"/>
  <c r="BR76" i="21"/>
  <c r="BR71" i="21"/>
  <c r="BR82" i="21"/>
  <c r="BR83" i="21"/>
  <c r="BR72" i="21"/>
  <c r="BR74" i="21"/>
  <c r="BR79" i="21"/>
  <c r="BR80" i="21"/>
  <c r="BR67" i="21"/>
  <c r="BR70" i="21"/>
  <c r="BR66" i="21"/>
  <c r="BR75" i="21"/>
  <c r="BR69" i="21"/>
  <c r="BR85" i="21"/>
  <c r="BR77" i="21"/>
  <c r="BR78" i="21"/>
  <c r="BR73" i="21"/>
  <c r="BR81" i="21"/>
  <c r="BR84" i="21"/>
  <c r="BU67" i="21"/>
  <c r="BU76" i="21"/>
  <c r="BU72" i="21"/>
  <c r="BU66" i="21"/>
  <c r="BU69" i="21"/>
  <c r="BU77" i="21"/>
  <c r="BU70" i="21"/>
  <c r="BU85" i="21"/>
  <c r="BU74" i="21"/>
  <c r="BU75" i="21"/>
  <c r="BU82" i="21"/>
  <c r="BU83" i="21"/>
  <c r="BU80" i="21"/>
  <c r="BU81" i="21"/>
  <c r="BU78" i="21"/>
  <c r="BU84" i="21"/>
  <c r="BU71" i="21"/>
  <c r="BU68" i="21"/>
  <c r="BU73" i="21"/>
  <c r="BU79" i="21"/>
  <c r="BT67" i="21"/>
  <c r="BT82" i="21"/>
  <c r="BT74" i="21"/>
  <c r="BT79" i="21"/>
  <c r="BT71" i="21"/>
  <c r="BT66" i="21"/>
  <c r="BT80" i="21"/>
  <c r="BT72" i="21"/>
  <c r="BT85" i="21"/>
  <c r="BT77" i="21"/>
  <c r="BT69" i="21"/>
  <c r="BT78" i="21"/>
  <c r="BT70" i="21"/>
  <c r="BT83" i="21"/>
  <c r="BT75" i="21"/>
  <c r="BT84" i="21"/>
  <c r="BT76" i="21"/>
  <c r="BT68" i="21"/>
  <c r="BT81" i="21"/>
  <c r="BT73" i="21"/>
  <c r="BS72" i="21"/>
  <c r="BS85" i="21"/>
  <c r="BS73" i="21"/>
  <c r="BS67" i="21"/>
  <c r="BS77" i="21"/>
  <c r="BS75" i="21"/>
  <c r="BS79" i="21"/>
  <c r="BS83" i="21"/>
  <c r="BS71" i="21"/>
  <c r="BS84" i="21"/>
  <c r="BS82" i="21"/>
  <c r="BS66" i="21"/>
  <c r="BS80" i="21"/>
  <c r="BS76" i="21"/>
  <c r="BS74" i="21"/>
  <c r="BS78" i="21"/>
  <c r="BS70" i="21"/>
  <c r="BS69" i="21"/>
  <c r="BS68" i="21"/>
  <c r="BS81" i="21"/>
  <c r="BP71" i="21"/>
  <c r="BP67" i="21"/>
  <c r="BP69" i="21"/>
  <c r="BP81" i="21"/>
  <c r="BP84" i="21"/>
  <c r="BP70" i="21"/>
  <c r="BP68" i="21"/>
  <c r="BP83" i="21"/>
  <c r="BP78" i="21"/>
  <c r="BP80" i="21"/>
  <c r="BP66" i="21"/>
  <c r="BP77" i="21"/>
  <c r="BP73" i="21"/>
  <c r="BP85" i="21"/>
  <c r="BP72" i="21"/>
  <c r="BP79" i="21"/>
  <c r="BP75" i="21"/>
  <c r="BP74" i="21"/>
  <c r="BP76" i="21"/>
  <c r="BP82" i="21"/>
  <c r="BN69" i="21"/>
  <c r="BN84" i="21"/>
  <c r="BN79" i="21"/>
  <c r="BN66" i="21"/>
  <c r="BN70" i="21"/>
  <c r="BN80" i="21"/>
  <c r="BN68" i="21"/>
  <c r="BN77" i="21"/>
  <c r="BN72" i="21"/>
  <c r="BN83" i="21"/>
  <c r="BN67" i="21"/>
  <c r="BN76" i="21"/>
  <c r="BN82" i="21"/>
  <c r="BN81" i="21"/>
  <c r="BN71" i="21"/>
  <c r="BN78" i="21"/>
  <c r="BN75" i="21"/>
  <c r="BN74" i="21"/>
  <c r="BN73" i="21"/>
  <c r="BN85" i="21"/>
  <c r="BL67" i="21"/>
  <c r="BL76" i="21"/>
  <c r="BL66" i="21"/>
  <c r="BL71" i="21"/>
  <c r="BL70" i="21"/>
  <c r="BL81" i="21"/>
  <c r="BL80" i="21"/>
  <c r="BL75" i="21"/>
  <c r="BL83" i="21"/>
  <c r="BL77" i="21"/>
  <c r="BL74" i="21"/>
  <c r="BL85" i="21"/>
  <c r="BL69" i="21"/>
  <c r="BL84" i="21"/>
  <c r="BL68" i="21"/>
  <c r="BL79" i="21"/>
  <c r="BL82" i="21"/>
  <c r="BL78" i="21"/>
  <c r="BL73" i="21"/>
  <c r="BL72" i="21"/>
  <c r="BH67" i="21"/>
  <c r="BH85" i="21"/>
  <c r="BH72" i="21"/>
  <c r="BH79" i="21"/>
  <c r="BH69" i="21"/>
  <c r="BH70" i="21"/>
  <c r="BH76" i="21"/>
  <c r="BH81" i="21"/>
  <c r="BH73" i="21"/>
  <c r="BH74" i="21"/>
  <c r="BH82" i="21"/>
  <c r="BH84" i="21"/>
  <c r="BH68" i="21"/>
  <c r="BH80" i="21"/>
  <c r="BH66" i="21"/>
  <c r="BH77" i="21"/>
  <c r="BH78" i="21"/>
  <c r="BH71" i="21"/>
  <c r="BH75" i="21"/>
  <c r="BH83" i="21"/>
  <c r="BF70" i="21"/>
  <c r="BF73" i="21"/>
  <c r="BF68" i="21"/>
  <c r="BF66" i="21"/>
  <c r="BF67" i="21"/>
  <c r="BF78" i="21"/>
  <c r="BF84" i="21"/>
  <c r="BF75" i="21"/>
  <c r="BF83" i="21"/>
  <c r="BF76" i="21"/>
  <c r="BF77" i="21"/>
  <c r="BF71" i="21"/>
  <c r="BF81" i="21"/>
  <c r="BF72" i="21"/>
  <c r="BF80" i="21"/>
  <c r="BF82" i="21"/>
  <c r="BF69" i="21"/>
  <c r="BF79" i="21"/>
  <c r="BF74" i="21"/>
  <c r="BF85" i="21"/>
  <c r="V71" i="21"/>
  <c r="V66" i="22"/>
  <c r="BC68" i="21"/>
  <c r="BC76" i="21"/>
  <c r="BC69" i="21"/>
  <c r="BC78" i="21"/>
  <c r="BC77" i="21"/>
  <c r="BC67" i="21"/>
  <c r="BC70" i="21"/>
  <c r="BC84" i="21"/>
  <c r="BC83" i="21"/>
  <c r="BC72" i="21"/>
  <c r="BC81" i="21"/>
  <c r="BC82" i="21"/>
  <c r="BC85" i="21"/>
  <c r="BC71" i="21"/>
  <c r="BC80" i="21"/>
  <c r="BC73" i="21"/>
  <c r="BC66" i="21"/>
  <c r="BC79" i="21"/>
  <c r="BC74" i="21"/>
  <c r="BC75" i="21"/>
  <c r="AP71" i="22"/>
  <c r="AO71" i="22"/>
  <c r="BG85" i="22"/>
  <c r="BG68" i="22"/>
  <c r="BG71" i="22"/>
  <c r="BG79" i="22"/>
  <c r="BG67" i="22"/>
  <c r="BG66" i="22"/>
  <c r="BG69" i="22"/>
  <c r="BG82" i="22"/>
  <c r="BG78" i="22"/>
  <c r="BG75" i="22"/>
  <c r="BG76" i="22"/>
  <c r="BG70" i="22"/>
  <c r="BG73" i="22"/>
  <c r="BG80" i="22"/>
  <c r="BG84" i="22"/>
  <c r="BG74" i="22"/>
  <c r="BG81" i="22"/>
  <c r="BG83" i="22"/>
  <c r="BG72" i="22"/>
  <c r="BG77" i="22"/>
  <c r="BF82" i="22"/>
  <c r="BF68" i="22"/>
  <c r="BF73" i="22"/>
  <c r="BF84" i="22"/>
  <c r="BF75" i="22"/>
  <c r="BF66" i="22"/>
  <c r="BF67" i="22"/>
  <c r="BF81" i="22"/>
  <c r="BF76" i="22"/>
  <c r="BF69" i="22"/>
  <c r="BF80" i="22"/>
  <c r="BF85" i="22"/>
  <c r="BF83" i="22"/>
  <c r="BF71" i="22"/>
  <c r="BF70" i="22"/>
  <c r="BF74" i="22"/>
  <c r="BF79" i="22"/>
  <c r="BF77" i="22"/>
  <c r="BF78" i="22"/>
  <c r="BF72" i="22"/>
  <c r="AP70" i="22"/>
  <c r="AO70" i="22"/>
  <c r="AP69" i="22"/>
  <c r="AO69" i="22"/>
  <c r="BE79" i="22"/>
  <c r="BE81" i="22"/>
  <c r="BE68" i="22"/>
  <c r="BE78" i="22"/>
  <c r="BE80" i="22"/>
  <c r="BE66" i="22"/>
  <c r="BE70" i="22"/>
  <c r="BE67" i="22"/>
  <c r="BE73" i="22"/>
  <c r="BE72" i="22"/>
  <c r="BE71" i="22"/>
  <c r="BE84" i="22"/>
  <c r="BE69" i="22"/>
  <c r="BE85" i="22"/>
  <c r="BE76" i="22"/>
  <c r="BE83" i="22"/>
  <c r="BE74" i="22"/>
  <c r="BE77" i="22"/>
  <c r="BE75" i="22"/>
  <c r="BE82" i="22"/>
  <c r="AP68" i="22"/>
  <c r="AO68" i="22"/>
  <c r="BD84" i="22"/>
  <c r="BD77" i="22"/>
  <c r="BD68" i="22"/>
  <c r="BD83" i="22"/>
  <c r="BD66" i="22"/>
  <c r="BD70" i="22"/>
  <c r="BD78" i="22"/>
  <c r="BD69" i="22"/>
  <c r="BD67" i="22"/>
  <c r="BD75" i="22"/>
  <c r="BD79" i="22"/>
  <c r="BD73" i="22"/>
  <c r="BD76" i="22"/>
  <c r="BD82" i="22"/>
  <c r="BD81" i="22"/>
  <c r="BD72" i="22"/>
  <c r="BD85" i="22"/>
  <c r="BD74" i="22"/>
  <c r="BD71" i="22"/>
  <c r="BD80" i="22"/>
  <c r="BC81" i="22"/>
  <c r="BC80" i="22"/>
  <c r="BC74" i="22"/>
  <c r="BC75" i="22"/>
  <c r="BC66" i="22"/>
  <c r="BC72" i="22"/>
  <c r="BC83" i="22"/>
  <c r="BC67" i="22"/>
  <c r="BC69" i="22"/>
  <c r="BC73" i="22"/>
  <c r="BC71" i="22"/>
  <c r="BC70" i="22"/>
  <c r="BC79" i="22"/>
  <c r="BC68" i="22"/>
  <c r="BC77" i="22"/>
  <c r="BC84" i="22"/>
  <c r="BC82" i="22"/>
  <c r="BC78" i="22"/>
  <c r="BC85" i="22"/>
  <c r="BC76" i="22"/>
  <c r="AP67" i="22"/>
  <c r="AO67" i="22"/>
  <c r="BB78" i="22"/>
  <c r="BB67" i="22"/>
  <c r="BB66" i="22"/>
  <c r="BB79" i="22"/>
  <c r="BB74" i="22"/>
  <c r="BB82" i="22"/>
  <c r="BB73" i="22"/>
  <c r="BB81" i="22"/>
  <c r="BB69" i="22"/>
  <c r="BB72" i="22"/>
  <c r="BB76" i="22"/>
  <c r="BB83" i="22"/>
  <c r="BB80" i="22"/>
  <c r="BB84" i="22"/>
  <c r="BB70" i="22"/>
  <c r="BB71" i="22"/>
  <c r="BB75" i="22"/>
  <c r="BB77" i="22"/>
  <c r="BB85" i="22"/>
  <c r="BB68" i="22"/>
  <c r="AO66" i="22"/>
  <c r="AP66" i="22"/>
  <c r="BB70" i="21"/>
  <c r="BB78" i="21"/>
  <c r="BB71" i="21"/>
  <c r="BB79" i="21"/>
  <c r="BB77" i="21"/>
  <c r="BB72" i="21"/>
  <c r="BB80" i="21"/>
  <c r="BB73" i="21"/>
  <c r="BB81" i="21"/>
  <c r="BB74" i="21"/>
  <c r="BB82" i="21"/>
  <c r="BB76" i="21"/>
  <c r="BB66" i="21"/>
  <c r="BB85" i="21"/>
  <c r="BB67" i="21"/>
  <c r="BB75" i="21"/>
  <c r="BB83" i="21"/>
  <c r="BB68" i="21"/>
  <c r="BB84" i="21"/>
  <c r="BB69" i="21"/>
  <c r="AO71" i="21"/>
  <c r="AP71" i="21"/>
  <c r="AO79" i="21"/>
  <c r="AP79" i="21"/>
  <c r="L79" i="21" s="1"/>
  <c r="M79" i="21" s="1"/>
  <c r="AO72" i="21"/>
  <c r="AP72" i="21"/>
  <c r="AO80" i="21"/>
  <c r="AP80" i="21"/>
  <c r="AP73" i="21"/>
  <c r="AO73" i="21"/>
  <c r="AP81" i="21"/>
  <c r="AO81" i="21"/>
  <c r="AO74" i="21"/>
  <c r="AP74" i="21"/>
  <c r="AP82" i="21"/>
  <c r="AO82" i="21"/>
  <c r="AO67" i="21"/>
  <c r="AP67" i="21"/>
  <c r="AO75" i="21"/>
  <c r="AP75" i="21"/>
  <c r="AO83" i="21"/>
  <c r="AP83" i="21"/>
  <c r="AO68" i="21"/>
  <c r="AP68" i="21"/>
  <c r="AO76" i="21"/>
  <c r="AP76" i="21"/>
  <c r="AO84" i="21"/>
  <c r="AP84" i="21"/>
  <c r="AP69" i="21"/>
  <c r="AO69" i="21"/>
  <c r="AP77" i="21"/>
  <c r="AO77" i="21"/>
  <c r="AO70" i="21"/>
  <c r="AP70" i="21"/>
  <c r="AO78" i="21"/>
  <c r="AP78" i="21"/>
  <c r="AO85" i="21"/>
  <c r="AP85" i="21"/>
  <c r="AP66" i="21"/>
  <c r="L66" i="21" s="1"/>
  <c r="M66" i="21" s="1"/>
  <c r="AO66" i="21"/>
  <c r="L59" i="22"/>
  <c r="P3" i="22" s="1"/>
  <c r="AD69" i="22" l="1"/>
  <c r="AE69" i="22" s="1"/>
  <c r="AD81" i="22"/>
  <c r="AE81" i="22" s="1"/>
  <c r="AD73" i="22"/>
  <c r="AE73" i="22" s="1"/>
  <c r="AD85" i="22"/>
  <c r="AE85" i="22" s="1"/>
  <c r="M68" i="22"/>
  <c r="M74" i="22"/>
  <c r="M77" i="22"/>
  <c r="M83" i="22"/>
  <c r="M71" i="22"/>
  <c r="M79" i="22"/>
  <c r="M70" i="22"/>
  <c r="M85" i="22"/>
  <c r="M72" i="22"/>
  <c r="M73" i="22"/>
  <c r="M81" i="22"/>
  <c r="M82" i="22"/>
  <c r="M75" i="22"/>
  <c r="M76" i="22"/>
  <c r="M69" i="22"/>
  <c r="M78" i="22"/>
  <c r="M84" i="22"/>
  <c r="M80" i="22"/>
  <c r="L69" i="21"/>
  <c r="AD68" i="21"/>
  <c r="AE68" i="21" s="1"/>
  <c r="F113" i="21"/>
  <c r="E104" i="21"/>
  <c r="G104" i="21" s="1"/>
  <c r="E109" i="21"/>
  <c r="G109" i="21" s="1"/>
  <c r="F103" i="21"/>
  <c r="E113" i="21"/>
  <c r="E103" i="21"/>
  <c r="L31" i="21"/>
  <c r="D12" i="11" s="1"/>
  <c r="F12" i="11" s="1"/>
  <c r="F20" i="11" s="1"/>
  <c r="E110" i="21"/>
  <c r="F104" i="22"/>
  <c r="F105" i="22" s="1"/>
  <c r="F106" i="22"/>
  <c r="M67" i="22"/>
  <c r="P1" i="21"/>
  <c r="P1" i="22"/>
  <c r="M82" i="21"/>
  <c r="M73" i="21"/>
  <c r="AD85" i="21"/>
  <c r="AE85" i="21" s="1"/>
  <c r="AD83" i="21"/>
  <c r="AE83" i="21" s="1"/>
  <c r="AD82" i="21"/>
  <c r="AE82" i="21" s="1"/>
  <c r="AD81" i="21"/>
  <c r="AE81" i="21" s="1"/>
  <c r="L80" i="21"/>
  <c r="M80" i="21" s="1"/>
  <c r="L77" i="21"/>
  <c r="AD78" i="21"/>
  <c r="AD77" i="21"/>
  <c r="AE77" i="21" s="1"/>
  <c r="L76" i="21"/>
  <c r="AD76" i="21"/>
  <c r="AE76" i="21" s="1"/>
  <c r="AD74" i="21"/>
  <c r="AE74" i="21" s="1"/>
  <c r="L75" i="21"/>
  <c r="M75" i="21" s="1"/>
  <c r="L68" i="21"/>
  <c r="F110" i="21" s="1"/>
  <c r="AD69" i="21"/>
  <c r="AE69" i="21" s="1"/>
  <c r="L71" i="21"/>
  <c r="M71" i="21" s="1"/>
  <c r="AD71" i="21"/>
  <c r="AE71" i="21" s="1"/>
  <c r="AD72" i="21"/>
  <c r="AE72" i="21" s="1"/>
  <c r="AD73" i="21"/>
  <c r="AE73" i="21" s="1"/>
  <c r="AD70" i="21"/>
  <c r="AE70" i="21" s="1"/>
  <c r="L67" i="21"/>
  <c r="M67" i="21" s="1"/>
  <c r="AD67" i="21"/>
  <c r="AE66" i="22"/>
  <c r="N31" i="21"/>
  <c r="P2" i="21" s="1"/>
  <c r="BL64" i="22"/>
  <c r="BX76" i="22" s="1"/>
  <c r="BV76" i="22" s="1"/>
  <c r="O33" i="22"/>
  <c r="AE67" i="22"/>
  <c r="BN64" i="22"/>
  <c r="BX78" i="22" s="1"/>
  <c r="BV78" i="22" s="1"/>
  <c r="BK64" i="22"/>
  <c r="BX75" i="22" s="1"/>
  <c r="BV75" i="22" s="1"/>
  <c r="BJ64" i="22"/>
  <c r="BX74" i="22" s="1"/>
  <c r="BV74" i="22" s="1"/>
  <c r="BM64" i="22"/>
  <c r="BX77" i="22" s="1"/>
  <c r="BV77" i="22" s="1"/>
  <c r="BT64" i="22"/>
  <c r="BX84" i="22" s="1"/>
  <c r="BV84" i="22" s="1"/>
  <c r="BO64" i="22"/>
  <c r="BX79" i="22" s="1"/>
  <c r="BV79" i="22" s="1"/>
  <c r="BR64" i="22"/>
  <c r="BX82" i="22" s="1"/>
  <c r="BV82" i="22" s="1"/>
  <c r="BQ64" i="22"/>
  <c r="BX81" i="22" s="1"/>
  <c r="BV81" i="22" s="1"/>
  <c r="BP64" i="22"/>
  <c r="BX80" i="22" s="1"/>
  <c r="BV80" i="22" s="1"/>
  <c r="BH64" i="22"/>
  <c r="BX72" i="22" s="1"/>
  <c r="BV72" i="22" s="1"/>
  <c r="BS64" i="22"/>
  <c r="BX83" i="22" s="1"/>
  <c r="BV83" i="22" s="1"/>
  <c r="BU64" i="22"/>
  <c r="BX85" i="22" s="1"/>
  <c r="BV85" i="22" s="1"/>
  <c r="BI64" i="22"/>
  <c r="BX73" i="22" s="1"/>
  <c r="BV73" i="22" s="1"/>
  <c r="O33" i="21"/>
  <c r="BU64" i="21"/>
  <c r="BX85" i="21" s="1"/>
  <c r="BV85" i="21" s="1"/>
  <c r="BT64" i="21"/>
  <c r="BX84" i="21" s="1"/>
  <c r="BV84" i="21" s="1"/>
  <c r="BB64" i="22"/>
  <c r="BX66" i="22" s="1"/>
  <c r="BV66" i="22" s="1"/>
  <c r="BD64" i="22"/>
  <c r="BX68" i="22" s="1"/>
  <c r="BV68" i="22" s="1"/>
  <c r="BB64" i="21"/>
  <c r="BX66" i="21" s="1"/>
  <c r="BV66" i="21" s="1"/>
  <c r="BF64" i="22"/>
  <c r="BX70" i="22" s="1"/>
  <c r="BV70" i="22" s="1"/>
  <c r="BG64" i="22"/>
  <c r="BX71" i="22" s="1"/>
  <c r="BV71" i="22" s="1"/>
  <c r="BE64" i="22"/>
  <c r="BX69" i="22" s="1"/>
  <c r="BV69" i="22" s="1"/>
  <c r="BC64" i="22"/>
  <c r="BX67" i="22" s="1"/>
  <c r="BV67" i="22" s="1"/>
  <c r="BM64" i="21"/>
  <c r="BX77" i="21" s="1"/>
  <c r="BV77" i="21" s="1"/>
  <c r="BD64" i="21"/>
  <c r="BX68" i="21" s="1"/>
  <c r="BV68" i="21" s="1"/>
  <c r="BF64" i="21"/>
  <c r="BX70" i="21" s="1"/>
  <c r="BV70" i="21" s="1"/>
  <c r="BJ64" i="21"/>
  <c r="BX74" i="21" s="1"/>
  <c r="BV74" i="21" s="1"/>
  <c r="BN64" i="21"/>
  <c r="BX78" i="21" s="1"/>
  <c r="BV78" i="21" s="1"/>
  <c r="BO64" i="21"/>
  <c r="BX79" i="21" s="1"/>
  <c r="BV79" i="21" s="1"/>
  <c r="BR64" i="21"/>
  <c r="BX82" i="21" s="1"/>
  <c r="BV82" i="21" s="1"/>
  <c r="BS64" i="21"/>
  <c r="BX83" i="21" s="1"/>
  <c r="BV83" i="21" s="1"/>
  <c r="BQ64" i="21"/>
  <c r="BX81" i="21" s="1"/>
  <c r="BV81" i="21" s="1"/>
  <c r="BP64" i="21"/>
  <c r="BX80" i="21" s="1"/>
  <c r="BV80" i="21" s="1"/>
  <c r="BL64" i="21"/>
  <c r="BX76" i="21" s="1"/>
  <c r="BV76" i="21" s="1"/>
  <c r="BK64" i="21"/>
  <c r="BX75" i="21" s="1"/>
  <c r="BV75" i="21" s="1"/>
  <c r="BI64" i="21"/>
  <c r="BX73" i="21" s="1"/>
  <c r="BV73" i="21" s="1"/>
  <c r="BH64" i="21"/>
  <c r="BX72" i="21" s="1"/>
  <c r="BV72" i="21" s="1"/>
  <c r="BG64" i="21"/>
  <c r="BX71" i="21" s="1"/>
  <c r="BV71" i="21" s="1"/>
  <c r="BE64" i="21"/>
  <c r="BX69" i="21" s="1"/>
  <c r="BV69" i="21" s="1"/>
  <c r="BC64" i="21"/>
  <c r="BX67" i="21" s="1"/>
  <c r="BV67" i="21" s="1"/>
  <c r="L31" i="22"/>
  <c r="D13" i="11" s="1"/>
  <c r="F13" i="11" s="1"/>
  <c r="F21" i="11" s="1"/>
  <c r="N31" i="22"/>
  <c r="P2" i="22" s="1"/>
  <c r="M66" i="22" l="1"/>
  <c r="M86" i="22" s="1"/>
  <c r="M69" i="21"/>
  <c r="F111" i="21"/>
  <c r="G111" i="21" s="1"/>
  <c r="M68" i="21"/>
  <c r="F105" i="21"/>
  <c r="G105" i="21" s="1"/>
  <c r="G113" i="21"/>
  <c r="H113" i="21" s="1"/>
  <c r="E108" i="21"/>
  <c r="E112" i="21"/>
  <c r="G103" i="21"/>
  <c r="F16" i="11"/>
  <c r="C37" i="11"/>
  <c r="G110" i="21"/>
  <c r="F17" i="11"/>
  <c r="G106" i="22"/>
  <c r="H106" i="22" s="1"/>
  <c r="G104" i="22"/>
  <c r="H104" i="22" s="1"/>
  <c r="G103" i="22"/>
  <c r="H103" i="22" s="1"/>
  <c r="M77" i="21"/>
  <c r="M72" i="21"/>
  <c r="M76" i="21"/>
  <c r="M85" i="21"/>
  <c r="M74" i="21"/>
  <c r="AE78" i="21"/>
  <c r="M78" i="21"/>
  <c r="M83" i="21"/>
  <c r="M81" i="21"/>
  <c r="M70" i="21"/>
  <c r="AE67" i="21"/>
  <c r="C38" i="11"/>
  <c r="AE66" i="21"/>
  <c r="L86" i="22"/>
  <c r="P5" i="22" s="1"/>
  <c r="L86" i="21"/>
  <c r="I103" i="22" l="1"/>
  <c r="J105" i="22" s="1"/>
  <c r="F112" i="21"/>
  <c r="F108" i="21"/>
  <c r="G108" i="21"/>
  <c r="G112" i="21"/>
  <c r="H105" i="22"/>
  <c r="G105" i="22"/>
  <c r="P4" i="21"/>
  <c r="D16" i="11" s="1"/>
  <c r="D28" i="11" s="1"/>
  <c r="P5" i="21"/>
  <c r="P4" i="22"/>
  <c r="D17" i="11" s="1"/>
  <c r="D29" i="11" s="1"/>
  <c r="M86" i="21"/>
  <c r="H103" i="21" l="1"/>
  <c r="F114" i="21"/>
  <c r="I113" i="21" s="1"/>
  <c r="E114" i="21"/>
  <c r="G107" i="22"/>
  <c r="I106" i="22" s="1"/>
  <c r="E97" i="22" s="1" a="1"/>
  <c r="E97" i="22" s="1"/>
  <c r="G116" i="21"/>
  <c r="G108" i="22"/>
  <c r="G109" i="22"/>
  <c r="F115" i="21"/>
  <c r="F116" i="21"/>
  <c r="F117" i="21" s="1"/>
  <c r="G115" i="21"/>
  <c r="D38" i="11"/>
  <c r="D37" i="11"/>
  <c r="D21" i="11"/>
  <c r="E21" i="11" s="1" a="1"/>
  <c r="E21" i="11" s="1"/>
  <c r="H109" i="21" l="1"/>
  <c r="I112" i="21" s="1"/>
  <c r="I108" i="21"/>
  <c r="D25" i="11"/>
  <c r="E25" i="11" s="1" a="1"/>
  <c r="E25" i="11" s="1"/>
  <c r="J106" i="22"/>
  <c r="D20" i="11"/>
  <c r="E20" i="11" s="1" a="1"/>
  <c r="E20" i="11" s="1"/>
  <c r="E97" i="21" l="1" a="1"/>
  <c r="E97" i="21" s="1"/>
  <c r="F25" i="11"/>
  <c r="D24" i="11"/>
  <c r="E24" i="11" s="1" a="1"/>
  <c r="E24" i="11" s="1"/>
  <c r="J97" i="22"/>
  <c r="J2" i="22" s="1" a="1"/>
  <c r="J2" i="22" s="1"/>
  <c r="AX88" i="1"/>
  <c r="E88" i="1" s="1"/>
  <c r="F24" i="11" l="1"/>
  <c r="E51" i="1"/>
  <c r="E52" i="1"/>
  <c r="E53" i="1"/>
  <c r="E54" i="1"/>
  <c r="E55" i="1"/>
  <c r="E56" i="1"/>
  <c r="E57" i="1"/>
  <c r="E58" i="1"/>
  <c r="E59" i="1"/>
  <c r="AG88" i="1" l="1"/>
  <c r="AH88" i="1" s="1"/>
  <c r="AN88" i="1"/>
  <c r="AP88" i="1" s="1"/>
  <c r="AR88" i="1"/>
  <c r="AU88" i="1"/>
  <c r="AV88" i="1" s="1"/>
  <c r="AI88" i="1"/>
  <c r="AJ88" i="1" s="1"/>
  <c r="AO88" i="1" l="1"/>
  <c r="AF44" i="1"/>
  <c r="AF45" i="1"/>
  <c r="AF46" i="1"/>
  <c r="AF47" i="1"/>
  <c r="AF48" i="1"/>
  <c r="AF49" i="1"/>
  <c r="AF50" i="1"/>
  <c r="AF51" i="1"/>
  <c r="AF52" i="1"/>
  <c r="AF53" i="1"/>
  <c r="AF54" i="1"/>
  <c r="AF55" i="1"/>
  <c r="AF56" i="1"/>
  <c r="AF57" i="1"/>
  <c r="AF58" i="1"/>
  <c r="AF59" i="1"/>
  <c r="W44" i="1"/>
  <c r="X44" i="1" s="1"/>
  <c r="W45" i="1"/>
  <c r="X45" i="1" s="1"/>
  <c r="W46" i="1"/>
  <c r="X46" i="1" s="1"/>
  <c r="W47" i="1"/>
  <c r="X47" i="1" s="1"/>
  <c r="W48" i="1"/>
  <c r="X48" i="1" s="1"/>
  <c r="W49" i="1"/>
  <c r="X49" i="1" s="1"/>
  <c r="W50" i="1"/>
  <c r="X50" i="1" s="1"/>
  <c r="W51" i="1"/>
  <c r="X51" i="1" s="1"/>
  <c r="W52" i="1"/>
  <c r="X52" i="1" s="1"/>
  <c r="W53" i="1"/>
  <c r="X53" i="1" s="1"/>
  <c r="W54" i="1"/>
  <c r="X54" i="1" s="1"/>
  <c r="W55" i="1"/>
  <c r="X55" i="1" s="1"/>
  <c r="W56" i="1"/>
  <c r="X56" i="1" s="1"/>
  <c r="W57" i="1"/>
  <c r="X57" i="1" s="1"/>
  <c r="W58" i="1"/>
  <c r="X58" i="1" s="1"/>
  <c r="W59" i="1"/>
  <c r="X59" i="1" s="1"/>
  <c r="AB13" i="1"/>
  <c r="AB14" i="1"/>
  <c r="AB15" i="1"/>
  <c r="AB16" i="1"/>
  <c r="AB17" i="1"/>
  <c r="AB18" i="1"/>
  <c r="AB19" i="1"/>
  <c r="AB20" i="1"/>
  <c r="AB21" i="1"/>
  <c r="AB22" i="1"/>
  <c r="AB23" i="1"/>
  <c r="AB24" i="1"/>
  <c r="AB25" i="1"/>
  <c r="AB26" i="1"/>
  <c r="AB27" i="1"/>
  <c r="AB28" i="1"/>
  <c r="AB29" i="1"/>
  <c r="AB30" i="1"/>
  <c r="AI12" i="1" l="1"/>
  <c r="AI13" i="1"/>
  <c r="AI14" i="1"/>
  <c r="AI15" i="1"/>
  <c r="AI16" i="1"/>
  <c r="AI17" i="1"/>
  <c r="AI18" i="1"/>
  <c r="AI19" i="1"/>
  <c r="AI20" i="1"/>
  <c r="AI21" i="1"/>
  <c r="AI22" i="1"/>
  <c r="AI23" i="1"/>
  <c r="AI24" i="1"/>
  <c r="AI25" i="1"/>
  <c r="AI26" i="1"/>
  <c r="AI27" i="1"/>
  <c r="AI28" i="1"/>
  <c r="AI29" i="1"/>
  <c r="AI30" i="1"/>
  <c r="AI31" i="1"/>
  <c r="AI11" i="1"/>
  <c r="U69" i="1" l="1"/>
  <c r="AX70" i="1"/>
  <c r="AG41" i="1"/>
  <c r="AH41" i="1" s="1"/>
  <c r="AG42" i="1"/>
  <c r="AH42" i="1" s="1"/>
  <c r="AG43" i="1"/>
  <c r="AH43" i="1" s="1"/>
  <c r="AG44" i="1"/>
  <c r="AH44" i="1" s="1"/>
  <c r="AG45" i="1"/>
  <c r="AH45" i="1" s="1"/>
  <c r="AG46" i="1"/>
  <c r="AH46" i="1" s="1"/>
  <c r="AG47" i="1"/>
  <c r="AH47" i="1" s="1"/>
  <c r="AG48" i="1"/>
  <c r="AH48" i="1" s="1"/>
  <c r="AG49" i="1"/>
  <c r="AH49" i="1" s="1"/>
  <c r="AG50" i="1"/>
  <c r="AH50" i="1" s="1"/>
  <c r="AG51" i="1"/>
  <c r="AH51" i="1" s="1"/>
  <c r="AG52" i="1"/>
  <c r="AH52" i="1" s="1"/>
  <c r="AG53" i="1"/>
  <c r="AH53" i="1" s="1"/>
  <c r="AG54" i="1"/>
  <c r="AH54" i="1" s="1"/>
  <c r="AG55" i="1"/>
  <c r="AH55" i="1" s="1"/>
  <c r="AG56" i="1"/>
  <c r="AH56" i="1" s="1"/>
  <c r="AG57" i="1"/>
  <c r="AH57" i="1" s="1"/>
  <c r="AG58" i="1"/>
  <c r="AH58" i="1" s="1"/>
  <c r="AG59" i="1"/>
  <c r="AH59" i="1" s="1"/>
  <c r="AG60" i="1"/>
  <c r="AH60" i="1" s="1"/>
  <c r="W41" i="1"/>
  <c r="X41" i="1" s="1"/>
  <c r="AB41" i="1"/>
  <c r="AC41" i="1" s="1"/>
  <c r="W42" i="1"/>
  <c r="X42" i="1" s="1"/>
  <c r="AB42" i="1"/>
  <c r="W43" i="1"/>
  <c r="X43" i="1" s="1"/>
  <c r="AB43" i="1"/>
  <c r="AB44" i="1"/>
  <c r="AB45" i="1"/>
  <c r="AC45" i="1" s="1"/>
  <c r="AB46" i="1"/>
  <c r="AC46" i="1" s="1"/>
  <c r="AB47" i="1"/>
  <c r="AB48" i="1"/>
  <c r="AC48" i="1" s="1"/>
  <c r="AB49" i="1"/>
  <c r="AC49" i="1" s="1"/>
  <c r="AB50" i="1"/>
  <c r="AC50" i="1" s="1"/>
  <c r="AB51" i="1"/>
  <c r="AB52" i="1"/>
  <c r="AC52" i="1" s="1"/>
  <c r="AB53" i="1"/>
  <c r="AC53" i="1" s="1"/>
  <c r="AB54" i="1"/>
  <c r="AB55" i="1"/>
  <c r="AB56" i="1"/>
  <c r="AC56" i="1" s="1"/>
  <c r="AB57" i="1"/>
  <c r="AC57" i="1" s="1"/>
  <c r="AB58" i="1"/>
  <c r="AC58" i="1" s="1"/>
  <c r="AB59" i="1"/>
  <c r="T60" i="1"/>
  <c r="W60" i="1"/>
  <c r="X60" i="1" s="1"/>
  <c r="AB60" i="1"/>
  <c r="AC60" i="1" s="1"/>
  <c r="AG40" i="1"/>
  <c r="AH40" i="1" s="1"/>
  <c r="W40" i="1"/>
  <c r="X40" i="1" s="1"/>
  <c r="T40" i="1"/>
  <c r="AB40" i="1"/>
  <c r="AG21" i="1"/>
  <c r="AG22" i="1"/>
  <c r="AG23" i="1"/>
  <c r="AG24" i="1"/>
  <c r="AG25" i="1"/>
  <c r="AG26" i="1"/>
  <c r="AG27" i="1"/>
  <c r="AG28" i="1"/>
  <c r="AG29" i="1"/>
  <c r="AG30" i="1"/>
  <c r="AS70" i="1" l="1"/>
  <c r="AT70" i="1" s="1"/>
  <c r="AQ70" i="1"/>
  <c r="AR70" i="1" s="1"/>
  <c r="V60" i="1"/>
  <c r="AD59" i="1"/>
  <c r="L59" i="1" s="1"/>
  <c r="AC59" i="1"/>
  <c r="AD51" i="1"/>
  <c r="AC51" i="1"/>
  <c r="AD43" i="1"/>
  <c r="AC43" i="1"/>
  <c r="AD44" i="1"/>
  <c r="AC44" i="1"/>
  <c r="AD55" i="1"/>
  <c r="AC55" i="1"/>
  <c r="AD47" i="1"/>
  <c r="AC47" i="1"/>
  <c r="AD54" i="1"/>
  <c r="AC54" i="1"/>
  <c r="AX69" i="1"/>
  <c r="C68" i="1"/>
  <c r="AY68" i="1" s="1"/>
  <c r="AD40" i="1"/>
  <c r="AC40" i="1"/>
  <c r="AD42" i="1"/>
  <c r="AC42" i="1"/>
  <c r="AX68" i="1"/>
  <c r="AW68" i="1"/>
  <c r="AU80" i="1"/>
  <c r="AV80" i="1" s="1"/>
  <c r="AW80" i="1"/>
  <c r="AG80" i="1"/>
  <c r="AH80" i="1" s="1"/>
  <c r="AU72" i="1"/>
  <c r="AV72" i="1" s="1"/>
  <c r="AW72" i="1"/>
  <c r="E72" i="1"/>
  <c r="AG72" i="1"/>
  <c r="AH72" i="1" s="1"/>
  <c r="AW86" i="1"/>
  <c r="E86" i="1"/>
  <c r="AU86" i="1"/>
  <c r="AV86" i="1" s="1"/>
  <c r="AG86" i="1"/>
  <c r="AH86" i="1" s="1"/>
  <c r="AW78" i="1"/>
  <c r="E78" i="1"/>
  <c r="AU78" i="1"/>
  <c r="AV78" i="1" s="1"/>
  <c r="AG78" i="1"/>
  <c r="AH78" i="1" s="1"/>
  <c r="AW70" i="1"/>
  <c r="E70" i="1"/>
  <c r="AU70" i="1"/>
  <c r="AV70" i="1" s="1"/>
  <c r="AG70" i="1"/>
  <c r="AH70" i="1" s="1"/>
  <c r="AW71" i="1"/>
  <c r="AU71" i="1"/>
  <c r="AV71" i="1" s="1"/>
  <c r="E71" i="1"/>
  <c r="AG71" i="1"/>
  <c r="AU85" i="1"/>
  <c r="AV85" i="1" s="1"/>
  <c r="AW85" i="1"/>
  <c r="AG85" i="1"/>
  <c r="AH85" i="1" s="1"/>
  <c r="AU77" i="1"/>
  <c r="AV77" i="1" s="1"/>
  <c r="AW77" i="1"/>
  <c r="E77" i="1"/>
  <c r="AG77" i="1"/>
  <c r="AU69" i="1"/>
  <c r="AV69" i="1" s="1"/>
  <c r="AW69" i="1"/>
  <c r="AG69" i="1"/>
  <c r="AH69" i="1" s="1"/>
  <c r="AU87" i="1"/>
  <c r="AV87" i="1" s="1"/>
  <c r="AW87" i="1"/>
  <c r="E87" i="1"/>
  <c r="AG87" i="1"/>
  <c r="AH87" i="1" s="1"/>
  <c r="E84" i="1"/>
  <c r="AG84" i="1"/>
  <c r="AH84" i="1" s="1"/>
  <c r="AU84" i="1"/>
  <c r="AV84" i="1" s="1"/>
  <c r="AW84" i="1"/>
  <c r="AG76" i="1"/>
  <c r="AH76" i="1" s="1"/>
  <c r="AU76" i="1"/>
  <c r="AV76" i="1" s="1"/>
  <c r="AW76" i="1"/>
  <c r="E83" i="1"/>
  <c r="AG83" i="1"/>
  <c r="AH83" i="1" s="1"/>
  <c r="AU83" i="1"/>
  <c r="AV83" i="1" s="1"/>
  <c r="AW83" i="1"/>
  <c r="E75" i="1"/>
  <c r="AG75" i="1"/>
  <c r="AH75" i="1" s="1"/>
  <c r="AU75" i="1"/>
  <c r="AV75" i="1" s="1"/>
  <c r="AW75" i="1"/>
  <c r="AU79" i="1"/>
  <c r="AV79" i="1" s="1"/>
  <c r="AW79" i="1"/>
  <c r="E79" i="1"/>
  <c r="AG79" i="1"/>
  <c r="AH79" i="1" s="1"/>
  <c r="AW82" i="1"/>
  <c r="E82" i="1"/>
  <c r="AU82" i="1"/>
  <c r="AV82" i="1" s="1"/>
  <c r="AG82" i="1"/>
  <c r="AH82" i="1" s="1"/>
  <c r="AW74" i="1"/>
  <c r="E74" i="1"/>
  <c r="AU74" i="1"/>
  <c r="AV74" i="1" s="1"/>
  <c r="AG74" i="1"/>
  <c r="AH74" i="1" s="1"/>
  <c r="E81" i="1"/>
  <c r="AG81" i="1"/>
  <c r="AH81" i="1" s="1"/>
  <c r="AU81" i="1"/>
  <c r="AV81" i="1" s="1"/>
  <c r="AW81" i="1"/>
  <c r="E73" i="1"/>
  <c r="AU73" i="1"/>
  <c r="AV73" i="1" s="1"/>
  <c r="AW73" i="1"/>
  <c r="AG73" i="1"/>
  <c r="AH73" i="1" s="1"/>
  <c r="T83" i="1"/>
  <c r="T75" i="1"/>
  <c r="T76" i="1"/>
  <c r="T81" i="1"/>
  <c r="T73" i="1"/>
  <c r="T84" i="1"/>
  <c r="T82" i="1"/>
  <c r="T80" i="1"/>
  <c r="T72" i="1"/>
  <c r="T87" i="1"/>
  <c r="T79" i="1"/>
  <c r="T71" i="1"/>
  <c r="T86" i="1"/>
  <c r="T78" i="1"/>
  <c r="T70" i="1"/>
  <c r="T74" i="1"/>
  <c r="T85" i="1"/>
  <c r="T77" i="1"/>
  <c r="T69" i="1"/>
  <c r="T68" i="1"/>
  <c r="E80" i="1"/>
  <c r="E85" i="1"/>
  <c r="AB83" i="1"/>
  <c r="H83" i="1" s="1"/>
  <c r="AN83" i="1" s="1"/>
  <c r="C77" i="1"/>
  <c r="AY77" i="1" s="1"/>
  <c r="C76" i="1"/>
  <c r="AY76" i="1" s="1"/>
  <c r="AD60" i="1"/>
  <c r="AD52" i="1"/>
  <c r="L52" i="1" s="1"/>
  <c r="AD56" i="1"/>
  <c r="AD58" i="1"/>
  <c r="AD46" i="1"/>
  <c r="AD50" i="1"/>
  <c r="L50" i="1" s="1"/>
  <c r="V40" i="1"/>
  <c r="AD48" i="1"/>
  <c r="AI74" i="1"/>
  <c r="AJ74" i="1" s="1"/>
  <c r="C72" i="1"/>
  <c r="AY72" i="1" s="1"/>
  <c r="AU68" i="1"/>
  <c r="AV68" i="1" s="1"/>
  <c r="C69" i="1"/>
  <c r="AY69" i="1" s="1"/>
  <c r="AB82" i="1"/>
  <c r="H82" i="1" s="1"/>
  <c r="AN82" i="1" s="1"/>
  <c r="AI68" i="1"/>
  <c r="AJ68" i="1" s="1"/>
  <c r="AF80" i="1"/>
  <c r="AF72" i="1"/>
  <c r="AI82" i="1"/>
  <c r="AJ82" i="1" s="1"/>
  <c r="AB81" i="1"/>
  <c r="H81" i="1" s="1"/>
  <c r="AN81" i="1" s="1"/>
  <c r="AF68" i="1"/>
  <c r="AI75" i="1"/>
  <c r="AJ75" i="1" s="1"/>
  <c r="AG68" i="1"/>
  <c r="C86" i="1"/>
  <c r="AY86" i="1" s="1"/>
  <c r="C78" i="1"/>
  <c r="AY78" i="1" s="1"/>
  <c r="AI81" i="1"/>
  <c r="AJ81" i="1" s="1"/>
  <c r="AI73" i="1"/>
  <c r="AJ73" i="1" s="1"/>
  <c r="C85" i="1"/>
  <c r="AY85" i="1" s="1"/>
  <c r="C75" i="1"/>
  <c r="AY75" i="1" s="1"/>
  <c r="AB80" i="1"/>
  <c r="H80" i="1" s="1"/>
  <c r="AN80" i="1" s="1"/>
  <c r="AF87" i="1"/>
  <c r="AF79" i="1"/>
  <c r="AF71" i="1"/>
  <c r="AI80" i="1"/>
  <c r="AJ80" i="1" s="1"/>
  <c r="AI72" i="1"/>
  <c r="AJ72" i="1" s="1"/>
  <c r="C84" i="1"/>
  <c r="AY84" i="1" s="1"/>
  <c r="C74" i="1"/>
  <c r="AY74" i="1" s="1"/>
  <c r="AB87" i="1"/>
  <c r="H87" i="1" s="1"/>
  <c r="AN87" i="1" s="1"/>
  <c r="AB79" i="1"/>
  <c r="H79" i="1" s="1"/>
  <c r="AN79" i="1" s="1"/>
  <c r="AF86" i="1"/>
  <c r="AF78" i="1"/>
  <c r="AF70" i="1"/>
  <c r="AI87" i="1"/>
  <c r="AJ87" i="1" s="1"/>
  <c r="AI79" i="1"/>
  <c r="AJ79" i="1" s="1"/>
  <c r="AI71" i="1"/>
  <c r="AJ71" i="1" s="1"/>
  <c r="C83" i="1"/>
  <c r="AY83" i="1" s="1"/>
  <c r="C73" i="1"/>
  <c r="AY73" i="1" s="1"/>
  <c r="AB86" i="1"/>
  <c r="H86" i="1" s="1"/>
  <c r="AN86" i="1" s="1"/>
  <c r="AB78" i="1"/>
  <c r="H78" i="1" s="1"/>
  <c r="AN78" i="1" s="1"/>
  <c r="AF85" i="1"/>
  <c r="AF77" i="1"/>
  <c r="AF69" i="1"/>
  <c r="AI83" i="1"/>
  <c r="AJ83" i="1" s="1"/>
  <c r="AB85" i="1"/>
  <c r="H85" i="1" s="1"/>
  <c r="AN85" i="1" s="1"/>
  <c r="AF84" i="1"/>
  <c r="AF76" i="1"/>
  <c r="AI77" i="1"/>
  <c r="AJ77" i="1" s="1"/>
  <c r="AI85" i="1"/>
  <c r="AJ85" i="1" s="1"/>
  <c r="AI69" i="1"/>
  <c r="AJ69" i="1" s="1"/>
  <c r="C81" i="1"/>
  <c r="AY81" i="1" s="1"/>
  <c r="C71" i="1"/>
  <c r="AY71" i="1" s="1"/>
  <c r="AB84" i="1"/>
  <c r="H84" i="1" s="1"/>
  <c r="AN84" i="1" s="1"/>
  <c r="AF83" i="1"/>
  <c r="AF75" i="1"/>
  <c r="AI86" i="1"/>
  <c r="AJ86" i="1" s="1"/>
  <c r="AI78" i="1"/>
  <c r="AJ78" i="1" s="1"/>
  <c r="AI70" i="1"/>
  <c r="AJ70" i="1" s="1"/>
  <c r="C82" i="1"/>
  <c r="AY82" i="1" s="1"/>
  <c r="AI84" i="1"/>
  <c r="AJ84" i="1" s="1"/>
  <c r="AI76" i="1"/>
  <c r="AJ76" i="1" s="1"/>
  <c r="C80" i="1"/>
  <c r="AY80" i="1" s="1"/>
  <c r="C70" i="1"/>
  <c r="AY70" i="1" s="1"/>
  <c r="AF82" i="1"/>
  <c r="AF74" i="1"/>
  <c r="C87" i="1"/>
  <c r="AY87" i="1" s="1"/>
  <c r="C79" i="1"/>
  <c r="AY79" i="1" s="1"/>
  <c r="AF81" i="1"/>
  <c r="AF73" i="1"/>
  <c r="AD57" i="1"/>
  <c r="AD53" i="1"/>
  <c r="AD49" i="1"/>
  <c r="AD45" i="1"/>
  <c r="AD41" i="1"/>
  <c r="AS69" i="1" l="1"/>
  <c r="AT69" i="1" s="1"/>
  <c r="AQ69" i="1"/>
  <c r="AR69" i="1" s="1"/>
  <c r="AS68" i="1"/>
  <c r="AT68" i="1" s="1"/>
  <c r="AQ68" i="1"/>
  <c r="AR68" i="1" s="1"/>
  <c r="G126" i="1"/>
  <c r="G122" i="1"/>
  <c r="E69" i="1"/>
  <c r="G134" i="1"/>
  <c r="H134" i="1" s="1"/>
  <c r="G132" i="1"/>
  <c r="G133" i="1"/>
  <c r="E68" i="1"/>
  <c r="E76" i="1"/>
  <c r="BF69" i="1"/>
  <c r="BF77" i="1"/>
  <c r="BF85" i="1"/>
  <c r="BF74" i="1"/>
  <c r="BF75" i="1"/>
  <c r="BF70" i="1"/>
  <c r="BF78" i="1"/>
  <c r="BF86" i="1"/>
  <c r="BF71" i="1"/>
  <c r="BF79" i="1"/>
  <c r="BF87" i="1"/>
  <c r="BF72" i="1"/>
  <c r="BF80" i="1"/>
  <c r="BF73" i="1"/>
  <c r="BF81" i="1"/>
  <c r="BF82" i="1"/>
  <c r="BF76" i="1"/>
  <c r="BF84" i="1"/>
  <c r="BF68" i="1"/>
  <c r="BF83" i="1"/>
  <c r="BC72" i="1"/>
  <c r="BC80" i="1"/>
  <c r="BC68" i="1"/>
  <c r="BC86" i="1"/>
  <c r="BC73" i="1"/>
  <c r="BC81" i="1"/>
  <c r="BC85" i="1"/>
  <c r="BC74" i="1"/>
  <c r="BC82" i="1"/>
  <c r="BC78" i="1"/>
  <c r="BC75" i="1"/>
  <c r="BC83" i="1"/>
  <c r="BC76" i="1"/>
  <c r="BC84" i="1"/>
  <c r="BC77" i="1"/>
  <c r="BC71" i="1"/>
  <c r="BC79" i="1"/>
  <c r="BC87" i="1"/>
  <c r="BC69" i="1"/>
  <c r="BC70" i="1"/>
  <c r="BJ73" i="1"/>
  <c r="BJ81" i="1"/>
  <c r="BJ70" i="1"/>
  <c r="BJ74" i="1"/>
  <c r="BJ82" i="1"/>
  <c r="BJ68" i="1"/>
  <c r="BJ75" i="1"/>
  <c r="BJ83" i="1"/>
  <c r="BJ86" i="1"/>
  <c r="BJ87" i="1"/>
  <c r="BJ76" i="1"/>
  <c r="BJ84" i="1"/>
  <c r="BJ69" i="1"/>
  <c r="BJ77" i="1"/>
  <c r="BJ85" i="1"/>
  <c r="BJ72" i="1"/>
  <c r="BJ80" i="1"/>
  <c r="BJ78" i="1"/>
  <c r="BJ71" i="1"/>
  <c r="BJ79" i="1"/>
  <c r="BK72" i="1"/>
  <c r="BK80" i="1"/>
  <c r="BK68" i="1"/>
  <c r="BK69" i="1"/>
  <c r="BK73" i="1"/>
  <c r="BK81" i="1"/>
  <c r="BK78" i="1"/>
  <c r="BK74" i="1"/>
  <c r="BK82" i="1"/>
  <c r="BK70" i="1"/>
  <c r="BK75" i="1"/>
  <c r="BK83" i="1"/>
  <c r="BK77" i="1"/>
  <c r="BK76" i="1"/>
  <c r="BK84" i="1"/>
  <c r="BK71" i="1"/>
  <c r="BK79" i="1"/>
  <c r="BK87" i="1"/>
  <c r="BK85" i="1"/>
  <c r="BK86" i="1"/>
  <c r="BD71" i="1"/>
  <c r="BD79" i="1"/>
  <c r="BD87" i="1"/>
  <c r="BD76" i="1"/>
  <c r="BD84" i="1"/>
  <c r="BD72" i="1"/>
  <c r="BD80" i="1"/>
  <c r="BD69" i="1"/>
  <c r="BD85" i="1"/>
  <c r="BD73" i="1"/>
  <c r="BD81" i="1"/>
  <c r="BD74" i="1"/>
  <c r="BD82" i="1"/>
  <c r="BD77" i="1"/>
  <c r="BD75" i="1"/>
  <c r="BD83" i="1"/>
  <c r="BD70" i="1"/>
  <c r="BD78" i="1"/>
  <c r="BD86" i="1"/>
  <c r="BD68" i="1"/>
  <c r="BE70" i="1"/>
  <c r="BE78" i="1"/>
  <c r="BE86" i="1"/>
  <c r="BE71" i="1"/>
  <c r="BE79" i="1"/>
  <c r="BE87" i="1"/>
  <c r="BE72" i="1"/>
  <c r="BE80" i="1"/>
  <c r="BE73" i="1"/>
  <c r="BE81" i="1"/>
  <c r="BE83" i="1"/>
  <c r="BE84" i="1"/>
  <c r="BE74" i="1"/>
  <c r="BE82" i="1"/>
  <c r="BE68" i="1"/>
  <c r="BE69" i="1"/>
  <c r="BE77" i="1"/>
  <c r="BE85" i="1"/>
  <c r="BE75" i="1"/>
  <c r="BE76" i="1"/>
  <c r="BH75" i="1"/>
  <c r="BH83" i="1"/>
  <c r="BH72" i="1"/>
  <c r="BH80" i="1"/>
  <c r="BH76" i="1"/>
  <c r="BH84" i="1"/>
  <c r="BH73" i="1"/>
  <c r="BH69" i="1"/>
  <c r="BH77" i="1"/>
  <c r="BH85" i="1"/>
  <c r="BH70" i="1"/>
  <c r="BH78" i="1"/>
  <c r="BH86" i="1"/>
  <c r="BH68" i="1"/>
  <c r="BH71" i="1"/>
  <c r="BH79" i="1"/>
  <c r="BH87" i="1"/>
  <c r="BH81" i="1"/>
  <c r="BH74" i="1"/>
  <c r="BH82" i="1"/>
  <c r="BG76" i="1"/>
  <c r="BG84" i="1"/>
  <c r="BG69" i="1"/>
  <c r="BG77" i="1"/>
  <c r="BG85" i="1"/>
  <c r="BG70" i="1"/>
  <c r="BG78" i="1"/>
  <c r="BG86" i="1"/>
  <c r="BG74" i="1"/>
  <c r="BG82" i="1"/>
  <c r="BG71" i="1"/>
  <c r="BG79" i="1"/>
  <c r="BG87" i="1"/>
  <c r="BG72" i="1"/>
  <c r="BG80" i="1"/>
  <c r="BG68" i="1"/>
  <c r="BG75" i="1"/>
  <c r="BG83" i="1"/>
  <c r="BG73" i="1"/>
  <c r="BG81" i="1"/>
  <c r="BI74" i="1"/>
  <c r="BI82" i="1"/>
  <c r="BI87" i="1"/>
  <c r="BI80" i="1"/>
  <c r="BI75" i="1"/>
  <c r="BI83" i="1"/>
  <c r="BI76" i="1"/>
  <c r="BI84" i="1"/>
  <c r="BI68" i="1"/>
  <c r="BI79" i="1"/>
  <c r="BI69" i="1"/>
  <c r="BI77" i="1"/>
  <c r="BI85" i="1"/>
  <c r="BI70" i="1"/>
  <c r="BI78" i="1"/>
  <c r="BI86" i="1"/>
  <c r="BI73" i="1"/>
  <c r="BI81" i="1"/>
  <c r="BI71" i="1"/>
  <c r="BI72" i="1"/>
  <c r="BB69" i="1"/>
  <c r="BB73" i="1"/>
  <c r="BB77" i="1"/>
  <c r="BB70" i="1"/>
  <c r="BB74" i="1"/>
  <c r="BB78" i="1"/>
  <c r="BB86" i="1"/>
  <c r="BB81" i="1"/>
  <c r="BB82" i="1"/>
  <c r="BB68" i="1"/>
  <c r="BB75" i="1"/>
  <c r="BB87" i="1"/>
  <c r="BB85" i="1"/>
  <c r="BB71" i="1"/>
  <c r="BB79" i="1"/>
  <c r="BB83" i="1"/>
  <c r="BB72" i="1"/>
  <c r="BB76" i="1"/>
  <c r="BB80" i="1"/>
  <c r="BB84" i="1"/>
  <c r="BL71" i="1"/>
  <c r="BL79" i="1"/>
  <c r="BL87" i="1"/>
  <c r="BL84" i="1"/>
  <c r="BL78" i="1"/>
  <c r="BL72" i="1"/>
  <c r="BL80" i="1"/>
  <c r="BL68" i="1"/>
  <c r="BL73" i="1"/>
  <c r="BL81" i="1"/>
  <c r="BL76" i="1"/>
  <c r="BL70" i="1"/>
  <c r="BL74" i="1"/>
  <c r="BL82" i="1"/>
  <c r="BL75" i="1"/>
  <c r="BL83" i="1"/>
  <c r="BL69" i="1"/>
  <c r="BL77" i="1"/>
  <c r="BL85" i="1"/>
  <c r="BL86" i="1"/>
  <c r="BT71" i="1"/>
  <c r="BT79" i="1"/>
  <c r="BT87" i="1"/>
  <c r="BT84" i="1"/>
  <c r="BT72" i="1"/>
  <c r="BT80" i="1"/>
  <c r="BT68" i="1"/>
  <c r="BT76" i="1"/>
  <c r="BT73" i="1"/>
  <c r="BT81" i="1"/>
  <c r="BT74" i="1"/>
  <c r="BT82" i="1"/>
  <c r="BT75" i="1"/>
  <c r="BT83" i="1"/>
  <c r="BT69" i="1"/>
  <c r="BT77" i="1"/>
  <c r="BT85" i="1"/>
  <c r="BT70" i="1"/>
  <c r="BT78" i="1"/>
  <c r="BT86" i="1"/>
  <c r="BP71" i="1"/>
  <c r="BP79" i="1"/>
  <c r="BP87" i="1"/>
  <c r="BP72" i="1"/>
  <c r="BP80" i="1"/>
  <c r="BP68" i="1"/>
  <c r="BP84" i="1"/>
  <c r="BP73" i="1"/>
  <c r="BP81" i="1"/>
  <c r="BP76" i="1"/>
  <c r="BP74" i="1"/>
  <c r="BP82" i="1"/>
  <c r="BP75" i="1"/>
  <c r="BP83" i="1"/>
  <c r="BP69" i="1"/>
  <c r="BP77" i="1"/>
  <c r="BP85" i="1"/>
  <c r="BP70" i="1"/>
  <c r="BP78" i="1"/>
  <c r="BP86" i="1"/>
  <c r="BQ75" i="1"/>
  <c r="BQ83" i="1"/>
  <c r="BQ68" i="1"/>
  <c r="BQ76" i="1"/>
  <c r="BQ84" i="1"/>
  <c r="BQ69" i="1"/>
  <c r="BQ77" i="1"/>
  <c r="BQ85" i="1"/>
  <c r="BQ70" i="1"/>
  <c r="BQ78" i="1"/>
  <c r="BQ86" i="1"/>
  <c r="BQ80" i="1"/>
  <c r="BQ71" i="1"/>
  <c r="BQ79" i="1"/>
  <c r="BQ87" i="1"/>
  <c r="BQ72" i="1"/>
  <c r="BQ73" i="1"/>
  <c r="BQ81" i="1"/>
  <c r="BQ74" i="1"/>
  <c r="BQ82" i="1"/>
  <c r="BM75" i="1"/>
  <c r="BM83" i="1"/>
  <c r="BM76" i="1"/>
  <c r="BM84" i="1"/>
  <c r="BM68" i="1"/>
  <c r="BM69" i="1"/>
  <c r="BM77" i="1"/>
  <c r="BM85" i="1"/>
  <c r="BM72" i="1"/>
  <c r="BM70" i="1"/>
  <c r="BM78" i="1"/>
  <c r="BM86" i="1"/>
  <c r="BM71" i="1"/>
  <c r="BM79" i="1"/>
  <c r="BM87" i="1"/>
  <c r="BM80" i="1"/>
  <c r="BM82" i="1"/>
  <c r="BM73" i="1"/>
  <c r="BM81" i="1"/>
  <c r="BM74" i="1"/>
  <c r="BS75" i="1"/>
  <c r="BS83" i="1"/>
  <c r="BS76" i="1"/>
  <c r="BS84" i="1"/>
  <c r="BS69" i="1"/>
  <c r="BS77" i="1"/>
  <c r="BS85" i="1"/>
  <c r="BS72" i="1"/>
  <c r="BS80" i="1"/>
  <c r="BS68" i="1"/>
  <c r="BS70" i="1"/>
  <c r="BS78" i="1"/>
  <c r="BS86" i="1"/>
  <c r="BS71" i="1"/>
  <c r="BS79" i="1"/>
  <c r="BS87" i="1"/>
  <c r="BS73" i="1"/>
  <c r="BS81" i="1"/>
  <c r="BS74" i="1"/>
  <c r="BS82" i="1"/>
  <c r="BU75" i="1"/>
  <c r="BU83" i="1"/>
  <c r="BU76" i="1"/>
  <c r="BU84" i="1"/>
  <c r="BU69" i="1"/>
  <c r="BU77" i="1"/>
  <c r="BU85" i="1"/>
  <c r="BU80" i="1"/>
  <c r="BU70" i="1"/>
  <c r="BU78" i="1"/>
  <c r="BU86" i="1"/>
  <c r="BU68" i="1"/>
  <c r="BU71" i="1"/>
  <c r="BU79" i="1"/>
  <c r="BU87" i="1"/>
  <c r="BU72" i="1"/>
  <c r="BU73" i="1"/>
  <c r="BU81" i="1"/>
  <c r="BU74" i="1"/>
  <c r="BU82" i="1"/>
  <c r="BR71" i="1"/>
  <c r="BR79" i="1"/>
  <c r="BR87" i="1"/>
  <c r="BR72" i="1"/>
  <c r="BR80" i="1"/>
  <c r="BR68" i="1"/>
  <c r="BR76" i="1"/>
  <c r="BR73" i="1"/>
  <c r="BR81" i="1"/>
  <c r="BR84" i="1"/>
  <c r="BR74" i="1"/>
  <c r="BR82" i="1"/>
  <c r="BR75" i="1"/>
  <c r="BR83" i="1"/>
  <c r="BR69" i="1"/>
  <c r="BR77" i="1"/>
  <c r="BR85" i="1"/>
  <c r="BR70" i="1"/>
  <c r="BR78" i="1"/>
  <c r="BR86" i="1"/>
  <c r="BO75" i="1"/>
  <c r="BO83" i="1"/>
  <c r="BO76" i="1"/>
  <c r="BO84" i="1"/>
  <c r="BO68" i="1"/>
  <c r="BO69" i="1"/>
  <c r="BO77" i="1"/>
  <c r="BO85" i="1"/>
  <c r="BO72" i="1"/>
  <c r="BO70" i="1"/>
  <c r="BO78" i="1"/>
  <c r="BO86" i="1"/>
  <c r="BO71" i="1"/>
  <c r="BO79" i="1"/>
  <c r="BO87" i="1"/>
  <c r="BO80" i="1"/>
  <c r="BO73" i="1"/>
  <c r="BO81" i="1"/>
  <c r="BO74" i="1"/>
  <c r="BO82" i="1"/>
  <c r="BN71" i="1"/>
  <c r="BN79" i="1"/>
  <c r="BN87" i="1"/>
  <c r="BN84" i="1"/>
  <c r="BN72" i="1"/>
  <c r="BN80" i="1"/>
  <c r="BN68" i="1"/>
  <c r="BN73" i="1"/>
  <c r="BN81" i="1"/>
  <c r="BN74" i="1"/>
  <c r="BN82" i="1"/>
  <c r="BN76" i="1"/>
  <c r="BN75" i="1"/>
  <c r="BN83" i="1"/>
  <c r="BN69" i="1"/>
  <c r="BN77" i="1"/>
  <c r="BN85" i="1"/>
  <c r="BN70" i="1"/>
  <c r="BN78" i="1"/>
  <c r="BN86" i="1"/>
  <c r="AO84" i="1"/>
  <c r="AP84" i="1"/>
  <c r="AP79" i="1"/>
  <c r="AO79" i="1"/>
  <c r="AO85" i="1"/>
  <c r="AP85" i="1"/>
  <c r="AP87" i="1"/>
  <c r="AO87" i="1"/>
  <c r="AO80" i="1"/>
  <c r="AP80" i="1"/>
  <c r="AO82" i="1"/>
  <c r="AP82" i="1"/>
  <c r="AO83" i="1"/>
  <c r="AP83" i="1"/>
  <c r="AO86" i="1"/>
  <c r="AP86" i="1"/>
  <c r="AO81" i="1"/>
  <c r="AP81" i="1"/>
  <c r="AO78" i="1"/>
  <c r="AP78" i="1"/>
  <c r="AH68" i="1"/>
  <c r="AH77" i="1"/>
  <c r="AH71" i="1"/>
  <c r="AB12" i="1"/>
  <c r="AB69" i="1" s="1"/>
  <c r="H69" i="1" s="1"/>
  <c r="AN69" i="1" s="1"/>
  <c r="AB70" i="1"/>
  <c r="AB71" i="1"/>
  <c r="H71" i="1" s="1"/>
  <c r="AN71" i="1" s="1"/>
  <c r="AB72" i="1"/>
  <c r="H72" i="1" s="1"/>
  <c r="AN72" i="1" s="1"/>
  <c r="AB73" i="1"/>
  <c r="AB74" i="1"/>
  <c r="H74" i="1" s="1"/>
  <c r="AN74" i="1" s="1"/>
  <c r="AB75" i="1"/>
  <c r="H75" i="1" s="1"/>
  <c r="AN75" i="1" s="1"/>
  <c r="AC21" i="1"/>
  <c r="AC22" i="1"/>
  <c r="AC23" i="1"/>
  <c r="AD24" i="1"/>
  <c r="AC81" i="1" s="1"/>
  <c r="AD25" i="1"/>
  <c r="AC82" i="1" s="1"/>
  <c r="AD26" i="1"/>
  <c r="AC83" i="1" s="1"/>
  <c r="AD27" i="1"/>
  <c r="AC84" i="1" s="1"/>
  <c r="AD28" i="1"/>
  <c r="AC85" i="1" s="1"/>
  <c r="AC29" i="1"/>
  <c r="AC30" i="1"/>
  <c r="AB31" i="1"/>
  <c r="AB11" i="1"/>
  <c r="AB68" i="1" s="1"/>
  <c r="W12" i="1"/>
  <c r="W69" i="1" s="1"/>
  <c r="W13" i="1"/>
  <c r="W70" i="1" s="1"/>
  <c r="W14" i="1"/>
  <c r="W71" i="1" s="1"/>
  <c r="W15" i="1"/>
  <c r="W72" i="1" s="1"/>
  <c r="W16" i="1"/>
  <c r="W73" i="1" s="1"/>
  <c r="W17" i="1"/>
  <c r="W74" i="1" s="1"/>
  <c r="W18" i="1"/>
  <c r="W75" i="1" s="1"/>
  <c r="W19" i="1"/>
  <c r="W20" i="1"/>
  <c r="W21" i="1"/>
  <c r="W22" i="1"/>
  <c r="W23" i="1"/>
  <c r="W24" i="1"/>
  <c r="W25" i="1"/>
  <c r="W26" i="1"/>
  <c r="W27" i="1"/>
  <c r="W28" i="1"/>
  <c r="W29" i="1"/>
  <c r="W30" i="1"/>
  <c r="W31" i="1"/>
  <c r="W11" i="1"/>
  <c r="W68" i="1" s="1"/>
  <c r="T11" i="1"/>
  <c r="AF41" i="1"/>
  <c r="L41" i="1" s="1"/>
  <c r="AF42" i="1"/>
  <c r="L42" i="1" s="1"/>
  <c r="AF43" i="1"/>
  <c r="AE60" i="1"/>
  <c r="AF60" i="1" s="1"/>
  <c r="AF40" i="1"/>
  <c r="L40" i="1" s="1"/>
  <c r="F122" i="1" l="1"/>
  <c r="F118" i="1"/>
  <c r="H68" i="1"/>
  <c r="AN68" i="1" s="1"/>
  <c r="BQ66" i="1"/>
  <c r="BX83" i="1" s="1"/>
  <c r="BV83" i="1" s="1"/>
  <c r="BK66" i="1"/>
  <c r="BX77" i="1" s="1"/>
  <c r="BV77" i="1" s="1"/>
  <c r="BC66" i="1"/>
  <c r="BX69" i="1" s="1"/>
  <c r="BV69" i="1" s="1"/>
  <c r="BS66" i="1"/>
  <c r="BX85" i="1" s="1"/>
  <c r="BV85" i="1" s="1"/>
  <c r="BP66" i="1"/>
  <c r="BX82" i="1" s="1"/>
  <c r="BV82" i="1" s="1"/>
  <c r="BB66" i="1"/>
  <c r="BX68" i="1" s="1"/>
  <c r="BV68" i="1" s="1"/>
  <c r="BH66" i="1"/>
  <c r="BX74" i="1" s="1"/>
  <c r="BV74" i="1" s="1"/>
  <c r="BJ66" i="1"/>
  <c r="BX76" i="1" s="1"/>
  <c r="BV76" i="1" s="1"/>
  <c r="BU66" i="1"/>
  <c r="BX87" i="1" s="1"/>
  <c r="BV87" i="1" s="1"/>
  <c r="BG66" i="1"/>
  <c r="BX73" i="1" s="1"/>
  <c r="BV73" i="1" s="1"/>
  <c r="BD66" i="1"/>
  <c r="BX70" i="1" s="1"/>
  <c r="BV70" i="1" s="1"/>
  <c r="BL66" i="1"/>
  <c r="BX78" i="1" s="1"/>
  <c r="BV78" i="1" s="1"/>
  <c r="BM66" i="1"/>
  <c r="BX79" i="1" s="1"/>
  <c r="BV79" i="1" s="1"/>
  <c r="BN66" i="1"/>
  <c r="BX80" i="1" s="1"/>
  <c r="BV80" i="1" s="1"/>
  <c r="BT66" i="1"/>
  <c r="BX86" i="1" s="1"/>
  <c r="BV86" i="1" s="1"/>
  <c r="BE66" i="1"/>
  <c r="BX71" i="1" s="1"/>
  <c r="BV71" i="1" s="1"/>
  <c r="BF66" i="1"/>
  <c r="BX72" i="1" s="1"/>
  <c r="BV72" i="1" s="1"/>
  <c r="BR66" i="1"/>
  <c r="BX84" i="1" s="1"/>
  <c r="BV84" i="1" s="1"/>
  <c r="BO66" i="1"/>
  <c r="BX81" i="1" s="1"/>
  <c r="BV81" i="1" s="1"/>
  <c r="BI66" i="1"/>
  <c r="BX75" i="1" s="1"/>
  <c r="BV75" i="1" s="1"/>
  <c r="AO72" i="1"/>
  <c r="AP72" i="1"/>
  <c r="H70" i="1"/>
  <c r="AN70" i="1" s="1"/>
  <c r="AO75" i="1"/>
  <c r="AP75" i="1"/>
  <c r="AO69" i="1"/>
  <c r="AP69" i="1"/>
  <c r="AO74" i="1"/>
  <c r="AP74" i="1"/>
  <c r="AP71" i="1"/>
  <c r="AO71" i="1"/>
  <c r="H73" i="1"/>
  <c r="AN73" i="1" s="1"/>
  <c r="AC31" i="1"/>
  <c r="AB88" i="1"/>
  <c r="X31" i="1"/>
  <c r="X88" i="1" s="1"/>
  <c r="W88" i="1"/>
  <c r="X27" i="1"/>
  <c r="N27" i="1" s="1"/>
  <c r="W84" i="1"/>
  <c r="V31" i="1"/>
  <c r="U88" i="1"/>
  <c r="X26" i="1"/>
  <c r="N26" i="1" s="1"/>
  <c r="W83" i="1"/>
  <c r="X25" i="1"/>
  <c r="N25" i="1" s="1"/>
  <c r="W82" i="1"/>
  <c r="X24" i="1"/>
  <c r="N24" i="1" s="1"/>
  <c r="W81" i="1"/>
  <c r="X23" i="1"/>
  <c r="L23" i="1" s="1"/>
  <c r="W80" i="1"/>
  <c r="X22" i="1"/>
  <c r="W79" i="1"/>
  <c r="X21" i="1"/>
  <c r="W78" i="1"/>
  <c r="X29" i="1"/>
  <c r="W86" i="1"/>
  <c r="X28" i="1"/>
  <c r="W85" i="1"/>
  <c r="X30" i="1"/>
  <c r="W87" i="1"/>
  <c r="AC28" i="1"/>
  <c r="AD11" i="1"/>
  <c r="U68" i="1"/>
  <c r="AD13" i="1"/>
  <c r="AD12" i="1"/>
  <c r="AC69" i="1" s="1"/>
  <c r="AC11" i="1"/>
  <c r="AC24" i="1"/>
  <c r="AC18" i="1"/>
  <c r="AC17" i="1"/>
  <c r="AC27" i="1"/>
  <c r="AD17" i="1"/>
  <c r="AC74" i="1" s="1"/>
  <c r="AD23" i="1"/>
  <c r="AH31" i="1"/>
  <c r="X12" i="1"/>
  <c r="AC26" i="1"/>
  <c r="AC16" i="1"/>
  <c r="AD29" i="1"/>
  <c r="AC86" i="1" s="1"/>
  <c r="AD21" i="1"/>
  <c r="AC78" i="1" s="1"/>
  <c r="AD31" i="1"/>
  <c r="AD20" i="1"/>
  <c r="AC77" i="1" s="1"/>
  <c r="AB77" i="1"/>
  <c r="H77" i="1" s="1"/>
  <c r="AN77" i="1" s="1"/>
  <c r="AC25" i="1"/>
  <c r="AC15" i="1"/>
  <c r="AD18" i="1"/>
  <c r="AC75" i="1" s="1"/>
  <c r="AD22" i="1"/>
  <c r="AC79" i="1" s="1"/>
  <c r="AC19" i="1"/>
  <c r="AB76" i="1"/>
  <c r="H76" i="1" s="1"/>
  <c r="AN76" i="1" s="1"/>
  <c r="AC14" i="1"/>
  <c r="AD30" i="1"/>
  <c r="AC87" i="1" s="1"/>
  <c r="AC13" i="1"/>
  <c r="AD16" i="1"/>
  <c r="AC73" i="1" s="1"/>
  <c r="AC12" i="1"/>
  <c r="AD15" i="1"/>
  <c r="AD14" i="1"/>
  <c r="X13" i="1"/>
  <c r="X18" i="1"/>
  <c r="X17" i="1"/>
  <c r="X16" i="1"/>
  <c r="L16" i="1" s="1"/>
  <c r="X20" i="1"/>
  <c r="W77" i="1"/>
  <c r="X15" i="1"/>
  <c r="N15" i="1" s="1"/>
  <c r="X19" i="1"/>
  <c r="W76" i="1"/>
  <c r="X14" i="1"/>
  <c r="AH11" i="1"/>
  <c r="X11" i="1"/>
  <c r="V11" i="1"/>
  <c r="AC20" i="1"/>
  <c r="AD19" i="1"/>
  <c r="AC76" i="1" s="1"/>
  <c r="N21" i="1" l="1"/>
  <c r="N30" i="1"/>
  <c r="N17" i="1"/>
  <c r="N14" i="1"/>
  <c r="L28" i="1"/>
  <c r="N28" i="1"/>
  <c r="L29" i="1"/>
  <c r="F129" i="1" s="1"/>
  <c r="I129" i="1" s="1"/>
  <c r="N29" i="1"/>
  <c r="N20" i="1"/>
  <c r="L20" i="1"/>
  <c r="N18" i="1"/>
  <c r="L18" i="1"/>
  <c r="L13" i="1"/>
  <c r="L12" i="1"/>
  <c r="F128" i="1" s="1"/>
  <c r="L11" i="1"/>
  <c r="F125" i="1"/>
  <c r="I125" i="1" s="1"/>
  <c r="X87" i="1"/>
  <c r="AF30" i="1"/>
  <c r="AE30" i="1"/>
  <c r="X86" i="1"/>
  <c r="AE29" i="1"/>
  <c r="G124" i="1" s="1"/>
  <c r="AF29" i="1"/>
  <c r="X85" i="1"/>
  <c r="AE28" i="1"/>
  <c r="AF28" i="1"/>
  <c r="X84" i="1"/>
  <c r="AE27" i="1"/>
  <c r="AF27" i="1"/>
  <c r="N19" i="1"/>
  <c r="N22" i="1"/>
  <c r="N16" i="1"/>
  <c r="AC80" i="1"/>
  <c r="F123" i="1"/>
  <c r="I123" i="1" s="1"/>
  <c r="N23" i="1"/>
  <c r="X83" i="1"/>
  <c r="AE26" i="1"/>
  <c r="AF26" i="1"/>
  <c r="X82" i="1"/>
  <c r="AF25" i="1"/>
  <c r="AE25" i="1"/>
  <c r="X81" i="1"/>
  <c r="AE24" i="1"/>
  <c r="AF24" i="1"/>
  <c r="X80" i="1"/>
  <c r="AE23" i="1"/>
  <c r="AF23" i="1"/>
  <c r="F126" i="1"/>
  <c r="X79" i="1"/>
  <c r="AE22" i="1"/>
  <c r="AF22" i="1"/>
  <c r="AE21" i="1"/>
  <c r="AF21" i="1"/>
  <c r="AF20" i="1"/>
  <c r="AE20" i="1"/>
  <c r="AE19" i="1"/>
  <c r="G118" i="1" s="1"/>
  <c r="AF19" i="1"/>
  <c r="AF18" i="1"/>
  <c r="AE18" i="1"/>
  <c r="AF17" i="1"/>
  <c r="AE17" i="1"/>
  <c r="AE16" i="1"/>
  <c r="AF16" i="1"/>
  <c r="AF15" i="1"/>
  <c r="AE15" i="1"/>
  <c r="G123" i="1" s="1"/>
  <c r="AE14" i="1"/>
  <c r="G130" i="1" s="1"/>
  <c r="AF14" i="1"/>
  <c r="V88" i="1"/>
  <c r="N13" i="1"/>
  <c r="AF13" i="1"/>
  <c r="AE13" i="1"/>
  <c r="G125" i="1" s="1"/>
  <c r="AE12" i="1"/>
  <c r="N12" i="1"/>
  <c r="AF12" i="1"/>
  <c r="N11" i="1"/>
  <c r="AP68" i="1"/>
  <c r="AO68" i="1"/>
  <c r="AE11" i="1"/>
  <c r="G115" i="1" s="1"/>
  <c r="AF11" i="1"/>
  <c r="AC72" i="1"/>
  <c r="AC71" i="1"/>
  <c r="AC70" i="1"/>
  <c r="X78" i="1"/>
  <c r="X76" i="1"/>
  <c r="X77" i="1"/>
  <c r="X69" i="1"/>
  <c r="X68" i="1"/>
  <c r="AC68" i="1"/>
  <c r="AO70" i="1"/>
  <c r="AP70" i="1"/>
  <c r="AO76" i="1"/>
  <c r="AP76" i="1"/>
  <c r="AO77" i="1"/>
  <c r="AP77" i="1"/>
  <c r="V86" i="1"/>
  <c r="L86" i="1" s="1"/>
  <c r="V85" i="1"/>
  <c r="V84" i="1"/>
  <c r="V83" i="1"/>
  <c r="L83" i="1" s="1"/>
  <c r="V82" i="1"/>
  <c r="L82" i="1" s="1"/>
  <c r="V81" i="1"/>
  <c r="L81" i="1" s="1"/>
  <c r="V80" i="1"/>
  <c r="L80" i="1" s="1"/>
  <c r="V79" i="1"/>
  <c r="L79" i="1" s="1"/>
  <c r="V78" i="1"/>
  <c r="L78" i="1" s="1"/>
  <c r="V77" i="1"/>
  <c r="V76" i="1"/>
  <c r="L76" i="1" s="1"/>
  <c r="V75" i="1"/>
  <c r="V74" i="1"/>
  <c r="V72" i="1"/>
  <c r="V71" i="1"/>
  <c r="V69" i="1"/>
  <c r="L69" i="1" s="1"/>
  <c r="AO73" i="1"/>
  <c r="AP73" i="1"/>
  <c r="V70" i="1"/>
  <c r="V73" i="1"/>
  <c r="AC88" i="1"/>
  <c r="V87" i="1"/>
  <c r="L87" i="1" s="1"/>
  <c r="X70" i="1"/>
  <c r="X75" i="1"/>
  <c r="X74" i="1"/>
  <c r="X72" i="1"/>
  <c r="X71" i="1"/>
  <c r="X73" i="1"/>
  <c r="V68" i="1"/>
  <c r="L70" i="1" l="1"/>
  <c r="F114" i="1"/>
  <c r="F121" i="1"/>
  <c r="L71" i="1"/>
  <c r="G116" i="1" s="1"/>
  <c r="L74" i="1"/>
  <c r="L73" i="1"/>
  <c r="L72" i="1"/>
  <c r="G128" i="1"/>
  <c r="G114" i="1"/>
  <c r="G127" i="1"/>
  <c r="H125" i="1"/>
  <c r="F124" i="1"/>
  <c r="L68" i="1"/>
  <c r="L85" i="1"/>
  <c r="G129" i="1" s="1"/>
  <c r="AD85" i="1"/>
  <c r="AE85" i="1" s="1"/>
  <c r="AD87" i="1"/>
  <c r="AE87" i="1" s="1"/>
  <c r="AD86" i="1"/>
  <c r="AE86" i="1" s="1"/>
  <c r="L84" i="1"/>
  <c r="G120" i="1" s="1"/>
  <c r="AD84" i="1"/>
  <c r="AE84" i="1" s="1"/>
  <c r="L77" i="1"/>
  <c r="L75" i="1"/>
  <c r="G119" i="1" s="1"/>
  <c r="AD70" i="1"/>
  <c r="AE70" i="1" s="1"/>
  <c r="AD79" i="1"/>
  <c r="AE79" i="1" s="1"/>
  <c r="AD83" i="1"/>
  <c r="AE83" i="1" s="1"/>
  <c r="AD82" i="1"/>
  <c r="AE82" i="1" s="1"/>
  <c r="AD81" i="1"/>
  <c r="AE81" i="1" s="1"/>
  <c r="AD80" i="1"/>
  <c r="AE80" i="1" s="1"/>
  <c r="AD78" i="1"/>
  <c r="AE78" i="1" s="1"/>
  <c r="AD76" i="1"/>
  <c r="AE76" i="1" s="1"/>
  <c r="AD77" i="1"/>
  <c r="AE77" i="1" s="1"/>
  <c r="AD75" i="1"/>
  <c r="AE75" i="1" s="1"/>
  <c r="AD74" i="1"/>
  <c r="AE74" i="1" s="1"/>
  <c r="AD73" i="1"/>
  <c r="AE73" i="1" s="1"/>
  <c r="AD72" i="1"/>
  <c r="AE72" i="1" s="1"/>
  <c r="AD71" i="1"/>
  <c r="AE71" i="1" s="1"/>
  <c r="AD69" i="1"/>
  <c r="AE69" i="1" s="1"/>
  <c r="F120" i="1"/>
  <c r="F139" i="1"/>
  <c r="F115" i="1"/>
  <c r="I115" i="1" s="1"/>
  <c r="F116" i="1"/>
  <c r="F119" i="1"/>
  <c r="F117" i="1"/>
  <c r="AD68" i="1"/>
  <c r="O36" i="1"/>
  <c r="C11" i="18"/>
  <c r="C13" i="18"/>
  <c r="C15" i="18"/>
  <c r="C17" i="18"/>
  <c r="C19" i="18"/>
  <c r="C21" i="18"/>
  <c r="C23" i="18"/>
  <c r="C25" i="18"/>
  <c r="C27" i="18"/>
  <c r="C29" i="18"/>
  <c r="C31" i="18"/>
  <c r="C33" i="18"/>
  <c r="C35" i="18"/>
  <c r="C37" i="18"/>
  <c r="C39" i="18"/>
  <c r="C41" i="18"/>
  <c r="C43" i="18"/>
  <c r="C45" i="18"/>
  <c r="C47" i="18"/>
  <c r="C9" i="18"/>
  <c r="G117" i="1" l="1"/>
  <c r="H114" i="1"/>
  <c r="G121" i="1"/>
  <c r="M84" i="1"/>
  <c r="M85" i="1"/>
  <c r="M69" i="1"/>
  <c r="M78" i="1"/>
  <c r="M73" i="1"/>
  <c r="M76" i="1"/>
  <c r="M75" i="1"/>
  <c r="M77" i="1"/>
  <c r="M83" i="1"/>
  <c r="M86" i="1"/>
  <c r="M81" i="1"/>
  <c r="M79" i="1"/>
  <c r="M82" i="1"/>
  <c r="M80" i="1"/>
  <c r="M87" i="1"/>
  <c r="M72" i="1"/>
  <c r="M71" i="1"/>
  <c r="G131" i="1"/>
  <c r="M70" i="1"/>
  <c r="M74" i="1"/>
  <c r="M68" i="1"/>
  <c r="H115" i="1"/>
  <c r="J115" i="1" s="1"/>
  <c r="H116" i="1"/>
  <c r="H133" i="1" l="1"/>
  <c r="AG14" i="1"/>
  <c r="AG15" i="1"/>
  <c r="AG16" i="1"/>
  <c r="AG17" i="1"/>
  <c r="AG18" i="1"/>
  <c r="AG20" i="1"/>
  <c r="AG19" i="1" l="1"/>
  <c r="P49" i="4"/>
  <c r="P48" i="4"/>
  <c r="O47" i="4"/>
  <c r="P47" i="4" s="1"/>
  <c r="AG12" i="1"/>
  <c r="AG13" i="1"/>
  <c r="AG11" i="1"/>
  <c r="S38" i="4"/>
  <c r="T38" i="4" s="1"/>
  <c r="S37" i="4"/>
  <c r="T37" i="4" s="1"/>
  <c r="S36" i="4"/>
  <c r="T36" i="4" s="1"/>
  <c r="I96" i="1" l="1"/>
  <c r="I97" i="1"/>
  <c r="I95" i="1"/>
  <c r="H130" i="1"/>
  <c r="H123" i="1"/>
  <c r="J123" i="1" s="1"/>
  <c r="I99" i="1" l="1"/>
  <c r="I31" i="1" s="1"/>
  <c r="L31" i="1" s="1"/>
  <c r="L60" i="1"/>
  <c r="L99" i="1"/>
  <c r="J31" i="1" s="1"/>
  <c r="H132" i="1"/>
  <c r="AE31" i="1" l="1"/>
  <c r="P1" i="1" s="1"/>
  <c r="M31" i="1"/>
  <c r="N31" i="1" s="1"/>
  <c r="N32" i="1" s="1"/>
  <c r="L88" i="1"/>
  <c r="AF31" i="1"/>
  <c r="T88" i="1"/>
  <c r="AD88" i="1" s="1"/>
  <c r="AE68" i="1"/>
  <c r="F135" i="1"/>
  <c r="I135" i="1" s="1"/>
  <c r="J125" i="1"/>
  <c r="H122" i="1"/>
  <c r="P2" i="1" l="1"/>
  <c r="G135" i="1"/>
  <c r="L32" i="1"/>
  <c r="F138" i="1"/>
  <c r="L89" i="1"/>
  <c r="H129" i="1"/>
  <c r="H128" i="1"/>
  <c r="H126" i="1"/>
  <c r="AF88" i="1"/>
  <c r="H124" i="1"/>
  <c r="H131" i="1"/>
  <c r="H118" i="1"/>
  <c r="H117" i="1"/>
  <c r="I117" i="1" s="1"/>
  <c r="D11" i="11" l="1"/>
  <c r="F11" i="11" s="1"/>
  <c r="F19" i="11" s="1"/>
  <c r="J129" i="1"/>
  <c r="J117" i="1"/>
  <c r="P4" i="1"/>
  <c r="H135" i="1"/>
  <c r="J135" i="1" s="1"/>
  <c r="AG31" i="1"/>
  <c r="AE88" i="1"/>
  <c r="M88" i="1"/>
  <c r="M89" i="1" s="1"/>
  <c r="I34" i="1"/>
  <c r="C36" i="11" l="1"/>
  <c r="F15" i="11"/>
  <c r="O33" i="1"/>
  <c r="O35" i="1"/>
  <c r="O34" i="1"/>
  <c r="O62" i="1"/>
  <c r="L61" i="1" l="1"/>
  <c r="J2" i="1" s="1" a="1"/>
  <c r="J2" i="1" s="1"/>
  <c r="H121" i="1"/>
  <c r="H127" i="1"/>
  <c r="G139" i="1" l="1"/>
  <c r="H139" i="1" s="1"/>
  <c r="G138" i="1"/>
  <c r="H138" i="1" s="1"/>
  <c r="I121" i="1"/>
  <c r="J121" i="1" s="1"/>
  <c r="P3" i="1"/>
  <c r="D15" i="11" s="1"/>
  <c r="P5" i="1"/>
  <c r="H120" i="1"/>
  <c r="H119" i="1"/>
  <c r="I119" i="1" l="1"/>
  <c r="J119" i="1" s="1"/>
  <c r="E108" i="1" s="1"/>
  <c r="J108" i="1" s="1"/>
  <c r="I138" i="1"/>
  <c r="J138" i="1" s="1"/>
  <c r="I142" i="1"/>
  <c r="I139" i="1" s="1"/>
  <c r="J139" i="1" s="1"/>
  <c r="F140" i="1"/>
  <c r="I140" i="1" s="1"/>
  <c r="J140" i="1" s="1"/>
  <c r="D27" i="11"/>
  <c r="D5" i="11" s="1"/>
  <c r="D36" i="11"/>
  <c r="E109" i="1" l="1"/>
  <c r="D19" i="11"/>
  <c r="E19" i="11" s="1" a="1"/>
  <c r="E19" i="11" s="1"/>
  <c r="D23" i="11" l="1"/>
  <c r="E23" i="11" s="1" a="1"/>
  <c r="E23" i="11" s="1"/>
  <c r="J109" i="1"/>
  <c r="F23" i="11" l="1"/>
  <c r="J97" i="21"/>
  <c r="J2" i="21" s="1" a="1"/>
  <c r="J2" i="21" s="1"/>
  <c r="D7" i="11" l="1"/>
  <c r="D9" i="1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cellMetadata count="1">
    <bk>
      <rc t="1" v="0"/>
    </bk>
  </cellMetadata>
  <valueMetadata count="4">
    <bk>
      <rc t="2" v="0"/>
    </bk>
    <bk>
      <rc t="2" v="1"/>
    </bk>
    <bk>
      <rc t="2" v="2"/>
    </bk>
    <bk>
      <rc t="2" v="3"/>
    </bk>
  </valueMetadata>
</metadata>
</file>

<file path=xl/sharedStrings.xml><?xml version="1.0" encoding="utf-8"?>
<sst xmlns="http://schemas.openxmlformats.org/spreadsheetml/2006/main" count="3183" uniqueCount="1069">
  <si>
    <t>created by Sam Arthur @ FPCR</t>
  </si>
  <si>
    <t>Cell style conventions</t>
  </si>
  <si>
    <t>Enter data</t>
  </si>
  <si>
    <t>Automated equation</t>
  </si>
  <si>
    <t>Result</t>
  </si>
  <si>
    <t>Title cell</t>
  </si>
  <si>
    <t>Title cell alt colour</t>
  </si>
  <si>
    <t>▲</t>
  </si>
  <si>
    <t>Error</t>
  </si>
  <si>
    <t>⚠</t>
  </si>
  <si>
    <t>Attention required</t>
  </si>
  <si>
    <r>
      <rPr>
        <b/>
        <sz val="11"/>
        <color theme="1"/>
        <rFont val="Calibri"/>
        <family val="2"/>
        <scheme val="minor"/>
      </rPr>
      <t xml:space="preserve">Technical Requirements - Excel Versions: </t>
    </r>
    <r>
      <rPr>
        <sz val="11"/>
        <color theme="1"/>
        <rFont val="Calibri"/>
        <family val="2"/>
        <scheme val="minor"/>
      </rPr>
      <t>2010, 2013, 2016, 2019, Office 365, Excel for Android</t>
    </r>
  </si>
  <si>
    <t xml:space="preserve">Use of this cell is not required </t>
  </si>
  <si>
    <t>Sheet Name</t>
  </si>
  <si>
    <t>Site Details</t>
  </si>
  <si>
    <t>1. Planning authority:</t>
  </si>
  <si>
    <t>2. Site name:</t>
  </si>
  <si>
    <t>3. Applicant:</t>
  </si>
  <si>
    <t>4. Planning application type:</t>
  </si>
  <si>
    <t>5. Planning application reference:</t>
  </si>
  <si>
    <t>6. Metric completed by (name &amp; job title):</t>
  </si>
  <si>
    <t>7. Date of metric completion:</t>
  </si>
  <si>
    <t>8. Revision number:</t>
  </si>
  <si>
    <t>9. Masterplan document title / drawing number:</t>
  </si>
  <si>
    <t>Net Gain Targets</t>
  </si>
  <si>
    <t>10. Targeted % increase in Units</t>
  </si>
  <si>
    <t>10c. Watercourses</t>
  </si>
  <si>
    <t>11b. Hedgerow units</t>
  </si>
  <si>
    <t>11c. Watercourse units</t>
  </si>
  <si>
    <t>For planning authority use only</t>
  </si>
  <si>
    <t>12. Planning authority reviewer:</t>
  </si>
  <si>
    <t>13. Date of planning authority review:</t>
  </si>
  <si>
    <t>Site Name:</t>
  </si>
  <si>
    <t>Desktop Assessment</t>
  </si>
  <si>
    <t>Development</t>
  </si>
  <si>
    <t>14. Select the type of proposed development.
If Other provide details at Q.25 below</t>
  </si>
  <si>
    <r>
      <t>15. Site area (m</t>
    </r>
    <r>
      <rPr>
        <b/>
        <vertAlign val="superscript"/>
        <sz val="14"/>
        <color theme="0"/>
        <rFont val="Calibri"/>
        <family val="2"/>
        <scheme val="minor"/>
      </rPr>
      <t>2</t>
    </r>
    <r>
      <rPr>
        <b/>
        <sz val="14"/>
        <color theme="0"/>
        <rFont val="Calibri"/>
        <family val="2"/>
        <scheme val="minor"/>
      </rPr>
      <t>)</t>
    </r>
  </si>
  <si>
    <t>18. Any designated sites on or within 500m of the site?</t>
  </si>
  <si>
    <t>19. Any priority habitats on or within 500m of the site?</t>
  </si>
  <si>
    <t>20. List the designated sites and/or priority habitats</t>
  </si>
  <si>
    <t>21. Information sources used for assessment of designated sites and priority habitats
(See guidance)</t>
  </si>
  <si>
    <t>Site walkover</t>
  </si>
  <si>
    <t>Additional details</t>
  </si>
  <si>
    <t>Supporting Information</t>
  </si>
  <si>
    <t>Baseline Habitat Photos</t>
  </si>
  <si>
    <t>Insert photographs to support assumptions made in the metric</t>
  </si>
  <si>
    <t>Ref</t>
  </si>
  <si>
    <t>Habitat type</t>
  </si>
  <si>
    <t>Photo 1</t>
  </si>
  <si>
    <t>Photo 2</t>
  </si>
  <si>
    <t>Date taken</t>
  </si>
  <si>
    <t>Retained Units</t>
  </si>
  <si>
    <t>Data beyond this column is automated</t>
  </si>
  <si>
    <t>Site Name</t>
  </si>
  <si>
    <r>
      <rPr>
        <b/>
        <u/>
        <sz val="14"/>
        <color theme="1"/>
        <rFont val="Calibri"/>
        <family val="2"/>
        <scheme val="minor"/>
      </rPr>
      <t>Instructions:</t>
    </r>
    <r>
      <rPr>
        <sz val="11"/>
        <color theme="1"/>
        <rFont val="Calibri"/>
        <family val="2"/>
        <scheme val="minor"/>
      </rPr>
      <t xml:space="preserve">
1. Enter data into 1a. Baseline habitats table 
2. Enter data on habitats to be created into 1b. Habitats to be created
3. Enter data on habitats to be enhanced into 1c. Habitats to be enhanced 
4. Enter data on individual trees into 1d. Tree area calculator
</t>
    </r>
  </si>
  <si>
    <t>Lost Units</t>
  </si>
  <si>
    <t>5. Area Habitats</t>
  </si>
  <si>
    <t>Created Units</t>
  </si>
  <si>
    <t>Enhancement Units</t>
  </si>
  <si>
    <t>Net Change</t>
  </si>
  <si>
    <t>1a. Baseline habitats</t>
  </si>
  <si>
    <t>Habitat</t>
  </si>
  <si>
    <t>C. Strategic significance</t>
  </si>
  <si>
    <r>
      <t>Areas (m</t>
    </r>
    <r>
      <rPr>
        <b/>
        <vertAlign val="superscript"/>
        <sz val="12"/>
        <color theme="0"/>
        <rFont val="Calibri"/>
        <family val="2"/>
        <scheme val="minor"/>
      </rPr>
      <t>2</t>
    </r>
    <r>
      <rPr>
        <b/>
        <sz val="12"/>
        <color theme="0"/>
        <rFont val="Calibri"/>
        <family val="2"/>
        <scheme val="minor"/>
      </rPr>
      <t>)</t>
    </r>
  </si>
  <si>
    <t>Baseline results</t>
  </si>
  <si>
    <t>Comments</t>
  </si>
  <si>
    <t>Habitat distinctiveness</t>
  </si>
  <si>
    <t>Habitat condition</t>
  </si>
  <si>
    <t>Strategic significance</t>
  </si>
  <si>
    <t>Ecological baseline</t>
  </si>
  <si>
    <t>Suggested action to address habitat losses</t>
  </si>
  <si>
    <t>Enhancement rules</t>
  </si>
  <si>
    <t>A. Broad Habitat</t>
  </si>
  <si>
    <t xml:space="preserve"> B. Habitat type</t>
  </si>
  <si>
    <t xml:space="preserve">D. Total Area </t>
  </si>
  <si>
    <t>E. Area retained</t>
  </si>
  <si>
    <t>F. Area enhanced</t>
  </si>
  <si>
    <t>Total habitat units onsite</t>
  </si>
  <si>
    <t>Area Lost</t>
  </si>
  <si>
    <t>Units lost</t>
  </si>
  <si>
    <t>User comments</t>
  </si>
  <si>
    <t>LPA comments</t>
  </si>
  <si>
    <t>Distinctiveness</t>
  </si>
  <si>
    <t>Score</t>
  </si>
  <si>
    <t xml:space="preserve">Condition </t>
  </si>
  <si>
    <t>Strategic significance multiplier</t>
  </si>
  <si>
    <t>Baseline units retained</t>
  </si>
  <si>
    <t>Baseline units to be enhanced</t>
  </si>
  <si>
    <t>Area lost</t>
  </si>
  <si>
    <t>Trees</t>
  </si>
  <si>
    <t>Individual trees</t>
  </si>
  <si>
    <t>Urban/rural tree</t>
  </si>
  <si>
    <t>Formally identified in local strategy</t>
  </si>
  <si>
    <t>Totals (areas excl trees, green walls and intertidal hard structures)</t>
  </si>
  <si>
    <t>Error Check 1</t>
  </si>
  <si>
    <t>Error Check 2</t>
  </si>
  <si>
    <t>Error Check 3</t>
  </si>
  <si>
    <t>1b. Habitats to be created</t>
  </si>
  <si>
    <t>Condition Assessment</t>
  </si>
  <si>
    <t>D. Strategic significance</t>
  </si>
  <si>
    <r>
      <t>E. Total Area  (m</t>
    </r>
    <r>
      <rPr>
        <b/>
        <vertAlign val="superscript"/>
        <sz val="12"/>
        <color theme="0"/>
        <rFont val="Calibri"/>
        <family val="2"/>
        <scheme val="minor"/>
      </rPr>
      <t>2</t>
    </r>
    <r>
      <rPr>
        <b/>
        <sz val="12"/>
        <color theme="0"/>
        <rFont val="Calibri"/>
        <family val="2"/>
        <scheme val="minor"/>
      </rPr>
      <t>)</t>
    </r>
  </si>
  <si>
    <t>Habitat units created onsite</t>
  </si>
  <si>
    <t>Temporal multiplier</t>
  </si>
  <si>
    <t>Difficulty multipliers</t>
  </si>
  <si>
    <t>B. Habitat type</t>
  </si>
  <si>
    <t>Acceptable condition options</t>
  </si>
  <si>
    <t>C. Targeted condition</t>
  </si>
  <si>
    <t>Time to target condition/years</t>
  </si>
  <si>
    <t>Time to target multiplier</t>
  </si>
  <si>
    <t>Difficulty of creation category</t>
  </si>
  <si>
    <t>Difficulty of creation multiplier</t>
  </si>
  <si>
    <t>Moderate</t>
  </si>
  <si>
    <t>Area/compensation not in local strategy/ no local strategy</t>
  </si>
  <si>
    <t>Error Check 4</t>
  </si>
  <si>
    <t>Divider</t>
  </si>
  <si>
    <t>1c. Habitats to be enhanced</t>
  </si>
  <si>
    <t>,</t>
  </si>
  <si>
    <t>Baseline ref</t>
  </si>
  <si>
    <t>Existing Habitat Type</t>
  </si>
  <si>
    <t>Enhanced Habitat type</t>
  </si>
  <si>
    <t>B. Strategic significance</t>
  </si>
  <si>
    <t>Area Enhanced</t>
  </si>
  <si>
    <t>Enhanced Condition</t>
  </si>
  <si>
    <t>Total Units</t>
  </si>
  <si>
    <t>Net Improvement</t>
  </si>
  <si>
    <t>Baseline Values</t>
  </si>
  <si>
    <t xml:space="preserve"> Distinctiveness change acceptable?</t>
  </si>
  <si>
    <t>Enhanced multipliers</t>
  </si>
  <si>
    <t>Condition enhancement - Time to target condition/years</t>
  </si>
  <si>
    <t>Number of options</t>
  </si>
  <si>
    <t>Broad habitat type</t>
  </si>
  <si>
    <t>Existing habitat type</t>
  </si>
  <si>
    <t>Enhancement Type</t>
  </si>
  <si>
    <t>A. Enhanced habitat type</t>
  </si>
  <si>
    <t>Area enhanced</t>
  </si>
  <si>
    <t>Baseline distinctiveness band</t>
  </si>
  <si>
    <t>Baseline distinctiveness score</t>
  </si>
  <si>
    <t>Baseline condition category</t>
  </si>
  <si>
    <t>Baseline condition score</t>
  </si>
  <si>
    <t>Baseline strategic significance category</t>
  </si>
  <si>
    <t>Baseline strategic significance score</t>
  </si>
  <si>
    <t>Baseline value of area enhanced</t>
  </si>
  <si>
    <t>Condition enhancement - Time to target multiplier</t>
  </si>
  <si>
    <t>Distinctiveness enhancement - Time to target condition/years</t>
  </si>
  <si>
    <t>Distinctiveness enhancement - Time to target multiplier</t>
  </si>
  <si>
    <t>Difficulty of enhancement category</t>
  </si>
  <si>
    <t>Difficulty of enhancement multiplier</t>
  </si>
  <si>
    <t>Acceptable habitat types</t>
  </si>
  <si>
    <t>Enhancement type</t>
  </si>
  <si>
    <t>Enhancement broad habitat type</t>
  </si>
  <si>
    <t>Option number</t>
  </si>
  <si>
    <t>List range</t>
  </si>
  <si>
    <t>Column ref</t>
  </si>
  <si>
    <t>list  length</t>
  </si>
  <si>
    <t>BB</t>
  </si>
  <si>
    <t>BC</t>
  </si>
  <si>
    <t>BD</t>
  </si>
  <si>
    <t>BE</t>
  </si>
  <si>
    <t>BF</t>
  </si>
  <si>
    <t>BG</t>
  </si>
  <si>
    <t>BH</t>
  </si>
  <si>
    <t>BI</t>
  </si>
  <si>
    <t>BJ</t>
  </si>
  <si>
    <t>BK</t>
  </si>
  <si>
    <t>BL</t>
  </si>
  <si>
    <t>BM</t>
  </si>
  <si>
    <t>BN</t>
  </si>
  <si>
    <t>BO</t>
  </si>
  <si>
    <t>BP</t>
  </si>
  <si>
    <t>BQ</t>
  </si>
  <si>
    <t>BR</t>
  </si>
  <si>
    <t>BS</t>
  </si>
  <si>
    <t>BT</t>
  </si>
  <si>
    <t>BU</t>
  </si>
  <si>
    <t>1d.  - Tree area calculator</t>
  </si>
  <si>
    <t>Tree size
(Diameter at breast height)</t>
  </si>
  <si>
    <t>A. Total number of trees pre development</t>
  </si>
  <si>
    <t>B. Number of trees retained (but not enhanced)</t>
  </si>
  <si>
    <t>C. Number of new trees planted post development</t>
  </si>
  <si>
    <t>Areas</t>
  </si>
  <si>
    <t>Area pre development</t>
  </si>
  <si>
    <t>Area retained</t>
  </si>
  <si>
    <t>Area of new trees planted post development</t>
  </si>
  <si>
    <t>Small -DBH ≤ 30cm</t>
  </si>
  <si>
    <t>Medium - DBH &gt; 30 to ≤ 60cm</t>
  </si>
  <si>
    <t>Large - DBH &gt; 60 to ≤ 90cm</t>
  </si>
  <si>
    <t>Very Large - DBH &gt; 90cm</t>
  </si>
  <si>
    <t>Total</t>
  </si>
  <si>
    <t>Data beyond this row is automated</t>
  </si>
  <si>
    <t>1e . Trading Summary</t>
  </si>
  <si>
    <t>Broad Habitat Type - Medium Distinctiveness Habitats</t>
  </si>
  <si>
    <t xml:space="preserve">Medium and Low Distinctiveness Band </t>
  </si>
  <si>
    <t>1f . Habitat trading assessment</t>
  </si>
  <si>
    <t>Broad habitat types</t>
  </si>
  <si>
    <t>Distinctiveness band</t>
  </si>
  <si>
    <t>Baseline units</t>
  </si>
  <si>
    <t>Onsite provision</t>
  </si>
  <si>
    <t>Net change</t>
  </si>
  <si>
    <t>Trading satisfied?</t>
  </si>
  <si>
    <t>Cropland</t>
  </si>
  <si>
    <t>Low</t>
  </si>
  <si>
    <t>-</t>
  </si>
  <si>
    <t>Medium</t>
  </si>
  <si>
    <t>Grassland</t>
  </si>
  <si>
    <t>Heathland and shrub</t>
  </si>
  <si>
    <t>Intertidal hard structures</t>
  </si>
  <si>
    <t>Intertidal sediment</t>
  </si>
  <si>
    <t>Lakes</t>
  </si>
  <si>
    <t>Sparsely vegetated land</t>
  </si>
  <si>
    <t>Urban</t>
  </si>
  <si>
    <t>Woodland and forest</t>
  </si>
  <si>
    <t>Coastal saltmarsh</t>
  </si>
  <si>
    <t>Medium distinctiveness</t>
  </si>
  <si>
    <t>Low distinctiveness</t>
  </si>
  <si>
    <t>Surplus area habitat biodiversity units after offsetting low distinctiveness units</t>
  </si>
  <si>
    <r>
      <rPr>
        <b/>
        <u/>
        <sz val="14"/>
        <color theme="1"/>
        <rFont val="Calibri"/>
        <family val="2"/>
        <scheme val="minor"/>
      </rPr>
      <t xml:space="preserve">Instructions:
</t>
    </r>
    <r>
      <rPr>
        <sz val="11"/>
        <color theme="1"/>
        <rFont val="Calibri"/>
        <family val="2"/>
        <scheme val="minor"/>
      </rPr>
      <t xml:space="preserve">
1. Enter data into 1a. Baseline habitats 
2. Enter data on habitats to be created into 1b. Habitats to be created
3. Enter data on habitats to be enhanced into 1c. Habitats to be enhanced
</t>
    </r>
  </si>
  <si>
    <t>6. Hedges &amp; Lines of Trees</t>
  </si>
  <si>
    <t>Length (m)</t>
  </si>
  <si>
    <t>D. Total Length</t>
  </si>
  <si>
    <t>E. Length retained</t>
  </si>
  <si>
    <t>F. Length enhanced</t>
  </si>
  <si>
    <t>Total  units onsite</t>
  </si>
  <si>
    <t>Length Lost</t>
  </si>
  <si>
    <t>Hedgerows and Lines of trees</t>
  </si>
  <si>
    <t>Totals</t>
  </si>
  <si>
    <t>E. Total Length created (m)</t>
  </si>
  <si>
    <t>Units created on-site</t>
  </si>
  <si>
    <t>Length Enhanced (m)</t>
  </si>
  <si>
    <t>option number</t>
  </si>
  <si>
    <t>Distinctiveness and Habitat Type</t>
  </si>
  <si>
    <t>Species-rich native hedgerow</t>
  </si>
  <si>
    <t>Native hedgerow - associated with bank or ditch</t>
  </si>
  <si>
    <t>Native hedgerow with trees</t>
  </si>
  <si>
    <t>Ecologically valuable line of trees</t>
  </si>
  <si>
    <t>Ecologically valuable line of trees - associated with bank or ditch</t>
  </si>
  <si>
    <t>Sum</t>
  </si>
  <si>
    <t>Native hedgerow</t>
  </si>
  <si>
    <t>Line of trees</t>
  </si>
  <si>
    <t>Line of trees - associated with bank or ditch</t>
  </si>
  <si>
    <t>Very low</t>
  </si>
  <si>
    <t>Non-native and ornamental hedgerow</t>
  </si>
  <si>
    <t>Surplus medium distinctiveness units to offset low and very low distinctiveness units</t>
  </si>
  <si>
    <t>Cumulative surplus of units after offsetting low distinctiveness units</t>
  </si>
  <si>
    <t>Cumulative surplus of units after offsetting very low distinctiveness units</t>
  </si>
  <si>
    <r>
      <rPr>
        <b/>
        <u/>
        <sz val="14"/>
        <color theme="1"/>
        <rFont val="Calibri"/>
        <family val="2"/>
        <scheme val="minor"/>
      </rPr>
      <t xml:space="preserve">Instructions:
</t>
    </r>
    <r>
      <rPr>
        <sz val="11"/>
        <color theme="1"/>
        <rFont val="Calibri"/>
        <family val="2"/>
        <scheme val="minor"/>
      </rPr>
      <t xml:space="preserve">
1. Enter data into 1a. Baseline habitats
2. Enter data on habitats to be created into 1b. Habitats to be created
3. Enter data on Habitats to be enhanced into 1c. Habitats to be enhanced
</t>
    </r>
  </si>
  <si>
    <t>7. Watercourses</t>
  </si>
  <si>
    <t>Length M</t>
  </si>
  <si>
    <t>Baseline watercourse and riparian encroachment</t>
  </si>
  <si>
    <t>Baseline units pre-encroachment</t>
  </si>
  <si>
    <t>Watercourses</t>
  </si>
  <si>
    <t>Units created onsite</t>
  </si>
  <si>
    <t>Watercourse and riparian encroachment</t>
  </si>
  <si>
    <t xml:space="preserve"> Enhanced Habitat type</t>
  </si>
  <si>
    <t>Length Enhanced</t>
  </si>
  <si>
    <t>Enhanced watercourse and riparian encroachment</t>
  </si>
  <si>
    <t>Habitat Type</t>
  </si>
  <si>
    <t>Canals</t>
  </si>
  <si>
    <t>Ditches</t>
  </si>
  <si>
    <t>Culvert</t>
  </si>
  <si>
    <t>Surplus medium distinctiveness units to offset low distinctiveness units</t>
  </si>
  <si>
    <t>Surplus watercourse biodiversity units</t>
  </si>
  <si>
    <t>Headline Results</t>
  </si>
  <si>
    <t>Headline</t>
  </si>
  <si>
    <t>Trading Rules</t>
  </si>
  <si>
    <t>Next steps</t>
  </si>
  <si>
    <t>% unit change required</t>
  </si>
  <si>
    <t>Baseline Units</t>
  </si>
  <si>
    <t>Habitat units</t>
  </si>
  <si>
    <t>Hedgerow units</t>
  </si>
  <si>
    <t>Watercourse units</t>
  </si>
  <si>
    <t>Target units required (baseline plus extra units needed)</t>
  </si>
  <si>
    <t>Post-development Units</t>
  </si>
  <si>
    <t>Total net unit change</t>
  </si>
  <si>
    <t>Total net % change</t>
  </si>
  <si>
    <t>Hedgerow units required to meet target</t>
  </si>
  <si>
    <t>Watercourse units required to meet target</t>
  </si>
  <si>
    <t>Chart 1 - Unit change by habitat group</t>
  </si>
  <si>
    <t>Baseline</t>
  </si>
  <si>
    <t>Provision</t>
  </si>
  <si>
    <t>River units</t>
  </si>
  <si>
    <t>* based on government cost per unit of:</t>
  </si>
  <si>
    <t>9. All Habitats + Multipliers - (general technical information for reference purposes only)</t>
  </si>
  <si>
    <t>Risk Multipliers</t>
  </si>
  <si>
    <t>Location Multipliers</t>
  </si>
  <si>
    <t>Broad Habitat Group</t>
  </si>
  <si>
    <t>Nearest Ukhab Habitat</t>
  </si>
  <si>
    <t>Definitive Ukhab /  Unis Code</t>
  </si>
  <si>
    <t xml:space="preserve">Distinctiveness Category </t>
  </si>
  <si>
    <t>Trading Notes</t>
  </si>
  <si>
    <t>Technical Difficulty Creation</t>
  </si>
  <si>
    <t>Technical Difficulty Enhancement</t>
  </si>
  <si>
    <t>Connectivity</t>
  </si>
  <si>
    <t>Arable field margins cultivated annually</t>
  </si>
  <si>
    <t>Same broad habitat or a higher distinctiveness habitat required</t>
  </si>
  <si>
    <t>Arable field margins game bird mix</t>
  </si>
  <si>
    <t>Arable field margins pollen and nectar</t>
  </si>
  <si>
    <t>Arable field margins tussocky</t>
  </si>
  <si>
    <t>Cereal crops</t>
  </si>
  <si>
    <t>Same distinctiveness or better habitat required</t>
  </si>
  <si>
    <t>Winter stubble</t>
  </si>
  <si>
    <t>Horticulture</t>
  </si>
  <si>
    <t>Intensive orchards</t>
  </si>
  <si>
    <t>Non-cereal crops</t>
  </si>
  <si>
    <t>Temporary grass and clover leys</t>
  </si>
  <si>
    <t>Bracken</t>
  </si>
  <si>
    <t>Modified grassland</t>
  </si>
  <si>
    <t>Other lowland acid grassland</t>
  </si>
  <si>
    <t>Other neutral grassland</t>
  </si>
  <si>
    <t>Upland acid grassland</t>
  </si>
  <si>
    <t>Blackthorn scrub</t>
  </si>
  <si>
    <t>Bramble scrub</t>
  </si>
  <si>
    <t>Gorse scrub</t>
  </si>
  <si>
    <t>Hawthorn scrub</t>
  </si>
  <si>
    <t>Hazel scrub</t>
  </si>
  <si>
    <t>Mixed scrub</t>
  </si>
  <si>
    <t>Rhododendron scrub</t>
  </si>
  <si>
    <t>Other sea buckthorn scrub</t>
  </si>
  <si>
    <t>Willow scrub</t>
  </si>
  <si>
    <t>Ornamental lake or pond</t>
  </si>
  <si>
    <t>High</t>
  </si>
  <si>
    <t>Ponds (non-priority habitat)</t>
  </si>
  <si>
    <t>Reservoirs</t>
  </si>
  <si>
    <t>Ruderal/Ephemeral</t>
  </si>
  <si>
    <t>Other inland rock and scree</t>
  </si>
  <si>
    <t>Tall forbs</t>
  </si>
  <si>
    <t>Allotments</t>
  </si>
  <si>
    <t>Artificial unvegetated, unsealed surface</t>
  </si>
  <si>
    <t>V.Low</t>
  </si>
  <si>
    <t>Compensation Not Required</t>
  </si>
  <si>
    <t>Bioswale</t>
  </si>
  <si>
    <t>Biodiverse green roof</t>
  </si>
  <si>
    <t>Built linear features</t>
  </si>
  <si>
    <t>Cemeteries and churchyards</t>
  </si>
  <si>
    <t>Developed land; sealed surface</t>
  </si>
  <si>
    <t>Intensive green roof</t>
  </si>
  <si>
    <t>Facade-bound green wall</t>
  </si>
  <si>
    <t>Ground based green wall</t>
  </si>
  <si>
    <t>Ground level planters</t>
  </si>
  <si>
    <t>Other green roof</t>
  </si>
  <si>
    <t>Introduced shrub</t>
  </si>
  <si>
    <t>Rain garden</t>
  </si>
  <si>
    <t>Actively worked sand pit quarry or open cast mine</t>
  </si>
  <si>
    <t>Sustainable drainage system</t>
  </si>
  <si>
    <t>Unvegetated garden</t>
  </si>
  <si>
    <t>Vacant or derelict land</t>
  </si>
  <si>
    <t>Vegetated garden</t>
  </si>
  <si>
    <t>Bare ground</t>
  </si>
  <si>
    <t>Other coniferous woodland</t>
  </si>
  <si>
    <t>Other Scot's pine woodland</t>
  </si>
  <si>
    <t>Other woodland; broadleaved</t>
  </si>
  <si>
    <t>Other woodland; mixed</t>
  </si>
  <si>
    <t>Littoral coarse sediment</t>
  </si>
  <si>
    <t>Artificial saltmarshes and saline reedbeds</t>
  </si>
  <si>
    <t>Artificial littoral coarse sediment</t>
  </si>
  <si>
    <t>Artificial littoral mud</t>
  </si>
  <si>
    <t>Artificial littoral sand</t>
  </si>
  <si>
    <t>Artificial littoral muddy sand</t>
  </si>
  <si>
    <t>Artificial littoral mixed sediments</t>
  </si>
  <si>
    <t>Artificial littoral seagrass</t>
  </si>
  <si>
    <t>Artificial littoral biogenic reefs</t>
  </si>
  <si>
    <t>Littoral sand</t>
  </si>
  <si>
    <t>Artificial hard structures</t>
  </si>
  <si>
    <t>Artificial features of hard structures</t>
  </si>
  <si>
    <t>Artificial hard structures with integrated greening of grey infrastructure (IGGI)</t>
  </si>
  <si>
    <t>Rivers</t>
  </si>
  <si>
    <t>Same habitat required</t>
  </si>
  <si>
    <t>Better distinctiveness habitat required</t>
  </si>
  <si>
    <t>N/A</t>
  </si>
  <si>
    <t>10. Condition and Temporal - general technical information for refence purposes only)</t>
  </si>
  <si>
    <t>Condition</t>
  </si>
  <si>
    <t>Temporal Multipliers</t>
  </si>
  <si>
    <t>Enhancement Rules</t>
  </si>
  <si>
    <t>Baseline Default Condition</t>
  </si>
  <si>
    <t>Creation Condition Options</t>
  </si>
  <si>
    <t>Enhancement Habitat options</t>
  </si>
  <si>
    <t>EnhancementDefault Condition</t>
  </si>
  <si>
    <t>Years To Target Condition Creation - Moderate</t>
  </si>
  <si>
    <t>Years To Target Condition Creation - Good</t>
  </si>
  <si>
    <t>Years To Target Condition Creation - Poor</t>
  </si>
  <si>
    <t>Years To Target Condition Creation - Condition assessment N/A</t>
  </si>
  <si>
    <t>Years To Target Condition Creation - N/A Other</t>
  </si>
  <si>
    <t>Time To Target Condition Enhancement - Moderate to Good</t>
  </si>
  <si>
    <t>Time To Target Distinctiveness Enhancement - Low to Default Condition</t>
  </si>
  <si>
    <t>Good</t>
  </si>
  <si>
    <t>Poor</t>
  </si>
  <si>
    <t>Condition Assessment N/A</t>
  </si>
  <si>
    <t>N/A - Other</t>
  </si>
  <si>
    <t>Enhancement not possible</t>
  </si>
  <si>
    <t>Not Possible</t>
  </si>
  <si>
    <t>Arable field margins cultivated annually, Arable field margins game bird mix, Arable field margins pollen and nectar, Arable field margins tussocky</t>
  </si>
  <si>
    <t>Condition enhancement not possible, enhancement to any medium distinctiveness cropland habitat only</t>
  </si>
  <si>
    <t>Other lowland acid grassland, Other neutral grassland, Upland acid grassland</t>
  </si>
  <si>
    <t>Condition enhancement not possible, enhancement to any medium distinctiveness grassland habitat only</t>
  </si>
  <si>
    <t>Moderate, Good</t>
  </si>
  <si>
    <t>Modified grassland, Other lowland acid grassland, Other neutral grassland, Upland acid grassland</t>
  </si>
  <si>
    <t>Condition enhancement or enhancement to any medium distinctiveness grassland habitat</t>
  </si>
  <si>
    <t>Condition enhancement only</t>
  </si>
  <si>
    <t>Blackthorn scrub, Gorse scrub, Hawthorn scrub, Hazel scrub, Mixed scrub, Willow scrub</t>
  </si>
  <si>
    <t>Condition enhancement not possible, enhancement to any medium distinctiveness habitat in heathland or shrub habitat only</t>
  </si>
  <si>
    <t>Ornamental lake or pond, Ponds (non-priority habitat)</t>
  </si>
  <si>
    <t>Condition enhancement or enhancement to non-priority pond only</t>
  </si>
  <si>
    <t>Enhancement to Biodiverse green roof.</t>
  </si>
  <si>
    <t>Intensive green roof, Biodiverse green roof</t>
  </si>
  <si>
    <t>Condition enhancement possible, enhancement to Intensive green roof and Biodiverse green roof</t>
  </si>
  <si>
    <t>Condition enhancement not possible, enhancement to Sparsely vegetated land - other inland rock and scree only</t>
  </si>
  <si>
    <t>30+</t>
  </si>
  <si>
    <t>Other Scot's pine woodland, Other woodland; broadleaved, Other woodland; mixed</t>
  </si>
  <si>
    <t>Condition enhancement or enhancement to any medium distinctiveness woodland</t>
  </si>
  <si>
    <t>Artificial hard structures, Artificial hard structures with integrated greening of grey infrastructure (IGGI)</t>
  </si>
  <si>
    <t>Condition enhancement within same distinctiveness or enhancement to medium distinctiveness habitat</t>
  </si>
  <si>
    <t>Artificial features of hard structures, Artificial hard structures with integrated greening of grey infrastructure (IGGI)</t>
  </si>
  <si>
    <t>Native hedgerow, Species-rich native hedgerow, Native hedgerow - associated with bank or ditch, Native hedgerow with trees</t>
  </si>
  <si>
    <t>Condition enhancement or enhancement to any medium distinctiveness hedgerow</t>
  </si>
  <si>
    <t xml:space="preserve"> Native hedgerow with trees, Line of trees, Line of trees - associated with bank or ditch</t>
  </si>
  <si>
    <t>Not possible</t>
  </si>
  <si>
    <t>Condition enhancement or enhancement to an ecologically valuable line of trees or any medium distinctiveness hedgerow - i.e. should retain trees</t>
  </si>
  <si>
    <t xml:space="preserve">Ecologically valuable line of trees, Ecologically valuable line of trees - associated with bank or ditch, </t>
  </si>
  <si>
    <t>Condition enhancement or enhance to an Ecologically valuable line of trees - associated with bank or ditch</t>
  </si>
  <si>
    <t xml:space="preserve"> Line of trees - associated with bank or ditch</t>
  </si>
  <si>
    <t>Ecologically valuable line of trees - associated with bank or ditch,</t>
  </si>
  <si>
    <t>Canals, Ditches</t>
  </si>
  <si>
    <t>Enhancement to Canal or Ditch</t>
  </si>
  <si>
    <t>Broadhabitattype</t>
  </si>
  <si>
    <t>Heathlandandshrub</t>
  </si>
  <si>
    <t>Intertidalhardstructures</t>
  </si>
  <si>
    <t>Intertidalsediment</t>
  </si>
  <si>
    <t>Sparselyvegetatedland</t>
  </si>
  <si>
    <t>Woodlandandforest</t>
  </si>
  <si>
    <t>HedgerowsandLinesoftrees</t>
  </si>
  <si>
    <t>Lineoftrees</t>
  </si>
  <si>
    <t>Coastalsaltmarsh</t>
  </si>
  <si>
    <t>Individualtrees</t>
  </si>
  <si>
    <t>Linear features</t>
  </si>
  <si>
    <t>difficulty</t>
  </si>
  <si>
    <t>Strategic Significance</t>
  </si>
  <si>
    <t>category</t>
  </si>
  <si>
    <t>value</t>
  </si>
  <si>
    <t>Spatial  risk</t>
  </si>
  <si>
    <t>Street trees</t>
  </si>
  <si>
    <t>Description</t>
  </si>
  <si>
    <t>score</t>
  </si>
  <si>
    <t>strategic significance</t>
  </si>
  <si>
    <t>Multiplier</t>
  </si>
  <si>
    <t>Category</t>
  </si>
  <si>
    <t>Tree size</t>
  </si>
  <si>
    <t>Diameter M</t>
  </si>
  <si>
    <t>RPA Radius M</t>
  </si>
  <si>
    <t>RPA ha</t>
  </si>
  <si>
    <t>Local Authority List</t>
  </si>
  <si>
    <t>Application type</t>
  </si>
  <si>
    <t>Highly connected habitat</t>
  </si>
  <si>
    <t xml:space="preserve">High strategic significance </t>
  </si>
  <si>
    <t>Compensation inside LPA or NCA, or deemed to be sufficiently local, to site of biodiversity loss</t>
  </si>
  <si>
    <t>Small</t>
  </si>
  <si>
    <t>Adur and Worthing Borough Council</t>
  </si>
  <si>
    <t>Householder planning consent</t>
  </si>
  <si>
    <t>Moderately connected habitat</t>
  </si>
  <si>
    <t>Low Strategic Significance</t>
  </si>
  <si>
    <r>
      <t xml:space="preserve">Compensation </t>
    </r>
    <r>
      <rPr>
        <u/>
        <sz val="11"/>
        <rFont val="Calibri"/>
        <family val="2"/>
      </rPr>
      <t>outside</t>
    </r>
    <r>
      <rPr>
        <sz val="11"/>
        <rFont val="Calibri"/>
        <family val="2"/>
      </rPr>
      <t xml:space="preserve"> LPA or NCA of impact site but in neighbouring LPA or NCA</t>
    </r>
  </si>
  <si>
    <t>Adur District Council</t>
  </si>
  <si>
    <t>Full planning consent</t>
  </si>
  <si>
    <t>Unconnected habitat</t>
  </si>
  <si>
    <t>Very High</t>
  </si>
  <si>
    <r>
      <t xml:space="preserve">Compensation </t>
    </r>
    <r>
      <rPr>
        <u/>
        <sz val="11"/>
        <rFont val="Calibri"/>
        <family val="2"/>
      </rPr>
      <t>outside</t>
    </r>
    <r>
      <rPr>
        <sz val="11"/>
        <rFont val="Calibri"/>
        <family val="2"/>
      </rPr>
      <t xml:space="preserve"> LPA or NCA of impact site and beyond neighbouring LPA or NCA </t>
    </r>
  </si>
  <si>
    <t>Large</t>
  </si>
  <si>
    <t>Allerdale Borough Council</t>
  </si>
  <si>
    <t>Hybrid planning consent</t>
  </si>
  <si>
    <t>Assessment not appropriate</t>
  </si>
  <si>
    <t>Amber Valley Borough Council</t>
  </si>
  <si>
    <t>Outline planning consent</t>
  </si>
  <si>
    <t>Arun District Council</t>
  </si>
  <si>
    <t>Reserved Matters</t>
  </si>
  <si>
    <t>Ashfield District Council</t>
  </si>
  <si>
    <t>Ashford Borough Council</t>
  </si>
  <si>
    <t>Aylesbury Vale District Council</t>
  </si>
  <si>
    <t>Babergh District Council</t>
  </si>
  <si>
    <t>Distinctiveness categories</t>
  </si>
  <si>
    <t>Condition categories</t>
  </si>
  <si>
    <t>Temporal multipliers</t>
  </si>
  <si>
    <t>Hedges Distinctiveness categories</t>
  </si>
  <si>
    <t>Barnsley Metropolitan Borough Council</t>
  </si>
  <si>
    <t>Distinctiveness Category</t>
  </si>
  <si>
    <t>Distinctiveness Score</t>
  </si>
  <si>
    <t>Suggested Action</t>
  </si>
  <si>
    <t>Condition Multiplier</t>
  </si>
  <si>
    <t>Condition Assessment Score</t>
  </si>
  <si>
    <t>Year</t>
  </si>
  <si>
    <t>% of original unit</t>
  </si>
  <si>
    <t>Time to target Multiplier</t>
  </si>
  <si>
    <t>RPA m2</t>
  </si>
  <si>
    <t>Barrow-in-Furness Borough Council</t>
  </si>
  <si>
    <t>Basildon Borough Council</t>
  </si>
  <si>
    <t>Basingstoke and Deane Borough Council</t>
  </si>
  <si>
    <t>Bassetlaw District Council</t>
  </si>
  <si>
    <t>Application for non-material amendments</t>
  </si>
  <si>
    <t>Very Large</t>
  </si>
  <si>
    <t>Bath and North East Somerset Council</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</si>
  <si>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</si>
  <si>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</si>
  <si>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</si>
  <si>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</si>
  <si>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</si>
  <si>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</si>
  <si>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</si>
  <si>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</si>
  <si>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</si>
  <si>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</si>
  <si>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</si>
  <si>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</si>
  <si>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</si>
  <si>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</si>
  <si>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</si>
  <si>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</si>
  <si>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</si>
  <si>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</si>
  <si>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</si>
  <si>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</si>
  <si>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</si>
  <si>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</si>
  <si>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</si>
  <si>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</si>
  <si>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</si>
  <si>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</si>
  <si>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</si>
  <si>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</si>
  <si>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</si>
  <si>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</si>
  <si>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</si>
  <si>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</si>
  <si>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</si>
  <si>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</si>
  <si>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</si>
  <si>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</si>
  <si>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</si>
  <si>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</si>
  <si>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</si>
  <si>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</si>
  <si>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</si>
  <si>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</si>
  <si>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</si>
  <si>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</si>
  <si>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</si>
  <si>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</si>
  <si>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</si>
  <si>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</si>
  <si>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</si>
  <si>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</si>
  <si>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</si>
  <si>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</si>
  <si>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</si>
  <si>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</si>
  <si>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</si>
  <si>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</si>
  <si>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</si>
  <si>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</si>
  <si>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</si>
  <si>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</si>
  <si>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</si>
  <si>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</si>
  <si>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</si>
  <si>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</si>
  <si>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</si>
  <si>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</si>
  <si>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</si>
  <si>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</si>
  <si>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</si>
  <si>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</si>
  <si>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</si>
  <si>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</si>
  <si>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</si>
  <si>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</si>
  <si>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</si>
  <si>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</si>
  <si>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</si>
  <si>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</si>
  <si>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</si>
  <si>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</si>
  <si>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</si>
  <si>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</si>
  <si>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</si>
  <si>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</si>
  <si>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</si>
  <si>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</si>
  <si>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</si>
  <si>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</si>
  <si>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</si>
  <si>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</si>
  <si>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</si>
  <si>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</si>
  <si>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</si>
  <si>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</si>
  <si>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</si>
  <si>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</si>
  <si>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</si>
  <si>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</si>
  <si>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</si>
  <si>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</si>
  <si>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</si>
  <si>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</si>
  <si>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</si>
  <si>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</si>
  <si>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</si>
  <si>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</si>
  <si>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</si>
  <si>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</si>
  <si>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</si>
  <si>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</si>
  <si>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</si>
  <si>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</si>
  <si>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</si>
  <si>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</si>
  <si>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</si>
  <si>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</si>
  <si>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</si>
  <si>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</si>
  <si>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</si>
  <si>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</si>
  <si>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</si>
  <si>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</si>
  <si>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</si>
  <si>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</si>
  <si>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</si>
  <si>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</si>
  <si>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</si>
  <si>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</si>
  <si>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</si>
  <si>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</si>
  <si>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</si>
  <si>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</si>
  <si>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</si>
  <si>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</si>
  <si>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</si>
  <si>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</si>
  <si>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</si>
  <si>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</si>
  <si>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</si>
  <si>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</si>
  <si>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</si>
  <si>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</si>
  <si>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</si>
  <si>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</si>
  <si>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</si>
  <si>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</si>
  <si>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</si>
  <si>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</si>
  <si>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</si>
  <si>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</si>
  <si>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</si>
  <si>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</si>
  <si>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</si>
  <si>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</si>
  <si>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</si>
  <si>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</si>
  <si>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</si>
  <si>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</si>
  <si>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</si>
  <si>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</si>
  <si>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</si>
  <si>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</si>
  <si>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</si>
  <si>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</si>
  <si>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</si>
  <si>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</si>
  <si>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</si>
  <si>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</si>
  <si>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</si>
  <si>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</si>
  <si>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</si>
  <si>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</si>
  <si>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</si>
  <si>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</si>
  <si>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</si>
  <si>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</si>
  <si>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</si>
  <si>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</si>
  <si>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</si>
  <si>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</si>
  <si>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</si>
  <si>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</si>
  <si>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</si>
  <si>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</si>
  <si>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</si>
  <si>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</si>
  <si>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</si>
  <si>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</si>
  <si>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</si>
  <si>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</si>
  <si>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</si>
  <si>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</si>
  <si>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</si>
  <si>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</si>
  <si>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</si>
  <si>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</si>
  <si>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</si>
  <si>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</si>
  <si>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</si>
  <si>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</si>
  <si>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</si>
  <si>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</si>
  <si>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</si>
  <si>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</si>
  <si>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</si>
  <si>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</si>
  <si>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</si>
  <si>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</si>
  <si>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</si>
  <si>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</si>
  <si>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</si>
  <si>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</si>
  <si>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</si>
  <si>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</si>
  <si>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</si>
  <si>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</si>
  <si>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</si>
  <si>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</si>
  <si>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</si>
  <si>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</si>
  <si>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</si>
  <si>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</si>
  <si>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</si>
  <si>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</si>
  <si>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</si>
  <si>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</si>
  <si>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</si>
  <si>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</si>
  <si>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</si>
  <si>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</si>
  <si>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</si>
  <si>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</si>
  <si>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</si>
  <si>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</si>
  <si>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</si>
  <si>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</si>
  <si>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</si>
  <si>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</si>
  <si>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</si>
  <si>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</si>
  <si>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</si>
  <si>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</si>
  <si>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</si>
  <si>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</si>
  <si>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</si>
  <si>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</si>
  <si>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</si>
  <si>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</si>
  <si>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</si>
  <si>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</si>
  <si>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</si>
  <si>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</si>
  <si>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</si>
  <si>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</si>
  <si>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</si>
  <si>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</si>
  <si>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</si>
  <si>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</si>
  <si>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</si>
  <si>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</si>
  <si>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</si>
  <si>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</si>
  <si>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</si>
  <si>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</si>
  <si>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</si>
  <si>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</si>
  <si>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</si>
  <si>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</si>
  <si>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</si>
  <si>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</si>
  <si>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</si>
  <si>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</si>
  <si>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</si>
  <si>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</si>
  <si>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</si>
  <si>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</si>
  <si>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</si>
  <si>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</si>
  <si>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</si>
  <si>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</si>
  <si>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</si>
  <si>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</si>
  <si>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</si>
  <si>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</si>
  <si>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</si>
  <si>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</si>
  <si>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</si>
  <si>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</si>
  <si>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</si>
  <si>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</si>
  <si>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</si>
  <si>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</si>
  <si>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</si>
  <si>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</si>
  <si>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</si>
  <si>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</si>
  <si>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</si>
  <si>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</si>
  <si>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</si>
  <si>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</si>
  <si>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</si>
  <si>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</si>
  <si>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</si>
  <si>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</si>
  <si>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</si>
  <si>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</si>
  <si>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</si>
  <si>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</si>
  <si>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</si>
  <si>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</si>
  <si>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</si>
  <si>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</si>
  <si>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</si>
  <si>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</si>
  <si>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</si>
  <si>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</si>
  <si>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</si>
  <si>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</si>
  <si>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</si>
  <si>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</si>
  <si>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</si>
  <si>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</si>
  <si>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</si>
  <si>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</si>
  <si>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</si>
  <si>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</si>
  <si>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</si>
  <si>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</si>
  <si>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</si>
  <si>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</si>
  <si>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</si>
  <si>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</si>
  <si>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</si>
  <si>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</si>
  <si>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</si>
  <si>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</si>
  <si>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</si>
  <si>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</si>
  <si>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</si>
  <si>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</si>
  <si>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</si>
  <si>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</si>
  <si>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</si>
  <si>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</si>
  <si>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</si>
  <si>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</si>
  <si>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</si>
  <si>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</si>
  <si>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</si>
  <si>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</si>
  <si>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</si>
  <si>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</si>
  <si>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</si>
  <si>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</si>
  <si>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</si>
  <si>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</si>
  <si>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</si>
  <si>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</si>
  <si>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</si>
  <si>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</si>
  <si>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</si>
  <si>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</si>
  <si>
    <t>BNG Group</t>
  </si>
  <si>
    <t>Landsacpe Term</t>
  </si>
  <si>
    <t>Unique Landscape Term (inc. BNG Code)</t>
  </si>
  <si>
    <t>BNG Habitat</t>
  </si>
  <si>
    <t xml:space="preserve">Coastal saltmarsh </t>
  </si>
  <si>
    <t>Saltmarsh</t>
  </si>
  <si>
    <t>Saltmarsh - A2.5</t>
  </si>
  <si>
    <t>Saltmarshes and saline reedbeds</t>
  </si>
  <si>
    <t>Arable - c1c</t>
  </si>
  <si>
    <t>Arable - c1c7</t>
  </si>
  <si>
    <t>Cereal crops other</t>
  </si>
  <si>
    <t>Arable - c1d</t>
  </si>
  <si>
    <t>Arable - c1b</t>
  </si>
  <si>
    <t>Cropland margins</t>
  </si>
  <si>
    <t>Arable - c1a7</t>
  </si>
  <si>
    <t>Arable - c1a8</t>
  </si>
  <si>
    <t>Arable - c1a6</t>
  </si>
  <si>
    <t>Arable field margins pollen &amp; nectar</t>
  </si>
  <si>
    <t>Arable - c1a</t>
  </si>
  <si>
    <t>Arable - c1c5</t>
  </si>
  <si>
    <t>Cereal crops winter stubble</t>
  </si>
  <si>
    <t>Horticulture - c1f</t>
  </si>
  <si>
    <t>Orchard</t>
  </si>
  <si>
    <t>Orchard - c1e</t>
  </si>
  <si>
    <t>grassland</t>
  </si>
  <si>
    <t>Amenity Grassland</t>
  </si>
  <si>
    <t>Amenity Grassland - g4</t>
  </si>
  <si>
    <t>Bracken - g1c</t>
  </si>
  <si>
    <t>Meadow Grassland</t>
  </si>
  <si>
    <t>Meadow Grassland - g1d</t>
  </si>
  <si>
    <t>Meadow Grassland - g3c</t>
  </si>
  <si>
    <t>Meadow Grassland - g1b</t>
  </si>
  <si>
    <t>Invasive Scrub</t>
  </si>
  <si>
    <t>Invasive Scrub - h3g</t>
  </si>
  <si>
    <t>Native Scrub</t>
  </si>
  <si>
    <t>Native Scrub - h3a</t>
  </si>
  <si>
    <t>Native Scrub - h3d</t>
  </si>
  <si>
    <t>Native Scrub - h3e</t>
  </si>
  <si>
    <t>Native Scrub - h3f</t>
  </si>
  <si>
    <t>Native Scrub - h3b</t>
  </si>
  <si>
    <t>Native Scrub - h3h</t>
  </si>
  <si>
    <t>Native Scrub - h3cNE2</t>
  </si>
  <si>
    <t>Sea buckthorn scrub (other)</t>
  </si>
  <si>
    <t>Hedgerow</t>
  </si>
  <si>
    <t>Native Hedge</t>
  </si>
  <si>
    <t>Native Hedge - h2NE5</t>
  </si>
  <si>
    <t>Native Hedgerow</t>
  </si>
  <si>
    <t>Native Hedge - h2NE2</t>
  </si>
  <si>
    <t>Native Species Rich Hedgerow</t>
  </si>
  <si>
    <t>Native Hedge - h2NE9</t>
  </si>
  <si>
    <t>Native Hedgerow - Associated with bank or ditch</t>
  </si>
  <si>
    <t>Native Hedge with Standard Trees</t>
  </si>
  <si>
    <t>Native Hedge with Standard Trees - h2NE4</t>
  </si>
  <si>
    <t>Native Hedgerow with trees</t>
  </si>
  <si>
    <t>Native Hedge with Standard Trees - h2NE1</t>
  </si>
  <si>
    <t>Native Species Rich Hedgerow with trees</t>
  </si>
  <si>
    <t>Native Hedge with Standard Trees - h2NE8</t>
  </si>
  <si>
    <t>Native Hedgerow with trees - Associated with bank or ditch</t>
  </si>
  <si>
    <t>Ornamental Hedge</t>
  </si>
  <si>
    <t>Ornamental Hedge - h2NE3</t>
  </si>
  <si>
    <t>Hedge Ornamental Non Native</t>
  </si>
  <si>
    <t>Standard Trees</t>
  </si>
  <si>
    <t>Standard Trees - w1g6NE4</t>
  </si>
  <si>
    <t>Line of Trees - Associated with bank or ditch</t>
  </si>
  <si>
    <t>Standard Trees - w1g6NE2</t>
  </si>
  <si>
    <t>Line of Trees</t>
  </si>
  <si>
    <t>Standard Trees - w1g6NE1</t>
  </si>
  <si>
    <t>Line of Trees (Ecologically Valuable) - with Bank or Ditch</t>
  </si>
  <si>
    <t>Standard Trees - w1g6NE3</t>
  </si>
  <si>
    <t>Line of Trees (Ecologically Valuable)</t>
  </si>
  <si>
    <t>Intertidal Hard Structures</t>
  </si>
  <si>
    <t>INTERTIDAL TBC</t>
  </si>
  <si>
    <t>INTERTIDAL TBC - ART_A1.4</t>
  </si>
  <si>
    <t>low</t>
  </si>
  <si>
    <t>INTERTIDAL TBC - ART_A1</t>
  </si>
  <si>
    <t>INTERTIDAL TBC - ART_A1_IGGI</t>
  </si>
  <si>
    <t>Artificial hard structures with Integrated Greening of Grey Infrastructure (IGGI)</t>
  </si>
  <si>
    <t>INTERTIDAL TBC - ART_A2.7</t>
  </si>
  <si>
    <t>INTERTIDAL TBC - ART_A2.1</t>
  </si>
  <si>
    <t>INTERTIDAL TBC - ART_A2.4</t>
  </si>
  <si>
    <t>INTERTIDAL TBC - ART_A2.3</t>
  </si>
  <si>
    <t>INTERTIDAL TBC - ART_A2.24</t>
  </si>
  <si>
    <t>INTERTIDAL TBC - ART_A2.21</t>
  </si>
  <si>
    <t>INTERTIDAL TBC - ART_A2.6</t>
  </si>
  <si>
    <t>INTERTIDAL TBC - A2.4</t>
  </si>
  <si>
    <t>Littoral mixed sediments</t>
  </si>
  <si>
    <t>INTERTIDAL TBC - A2.24</t>
  </si>
  <si>
    <t>Littoral muddy sand</t>
  </si>
  <si>
    <t>INTERTIDAL TBC - A2.21</t>
  </si>
  <si>
    <t>Reservoirs - 108</t>
  </si>
  <si>
    <t>Wildlfe Pond</t>
  </si>
  <si>
    <t>Wildlfe Pond - r1b</t>
  </si>
  <si>
    <t>Ponds (Non- Priority Habitat)</t>
  </si>
  <si>
    <t>Rivers &amp; Streams</t>
  </si>
  <si>
    <t>Canal</t>
  </si>
  <si>
    <t>Canal - r1eNE1</t>
  </si>
  <si>
    <t>Culvert - rNE1</t>
  </si>
  <si>
    <t>Ditch</t>
  </si>
  <si>
    <t>Ditch - r1eNE2</t>
  </si>
  <si>
    <t>Ruderals</t>
  </si>
  <si>
    <t>Ruderals - 17</t>
  </si>
  <si>
    <t>Scree</t>
  </si>
  <si>
    <t>Scree - s1d</t>
  </si>
  <si>
    <t>Allotments - 910</t>
  </si>
  <si>
    <t>Bareground</t>
  </si>
  <si>
    <t>Bareground - 350</t>
  </si>
  <si>
    <t>Vacant/derelict land/ bareground</t>
  </si>
  <si>
    <t>Biodiverse Roof</t>
  </si>
  <si>
    <t>Biodiverse Roof - 1113</t>
  </si>
  <si>
    <t>Brown roof</t>
  </si>
  <si>
    <t>Bioswale - 1191</t>
  </si>
  <si>
    <t>Cemetery</t>
  </si>
  <si>
    <t>Cemetery - 800</t>
  </si>
  <si>
    <t>Garden</t>
  </si>
  <si>
    <t>Garden - 231</t>
  </si>
  <si>
    <t>Garden - 232</t>
  </si>
  <si>
    <t>Un-vegetated garden</t>
  </si>
  <si>
    <t>Green Roof</t>
  </si>
  <si>
    <t>Green Roof - 1111</t>
  </si>
  <si>
    <t>Extensive green roof</t>
  </si>
  <si>
    <t>Green Roof - Sedum</t>
  </si>
  <si>
    <t>Green Roof - Sedum - 1112</t>
  </si>
  <si>
    <t>Green Wall</t>
  </si>
  <si>
    <t>Green Wall - 1122</t>
  </si>
  <si>
    <t>Green Wall - 1121</t>
  </si>
  <si>
    <t>Impermeable Hardscape</t>
  </si>
  <si>
    <t>Impermeable Hardscape - u1b</t>
  </si>
  <si>
    <t>Ornamental Pond</t>
  </si>
  <si>
    <t>Ornamental Pond - 362</t>
  </si>
  <si>
    <t>Ornamental Shrub Planting</t>
  </si>
  <si>
    <t>Ornamental Shrub Planting - 1160</t>
  </si>
  <si>
    <t>Permeable Hardscape</t>
  </si>
  <si>
    <t>Permeable Hardscape - u1c</t>
  </si>
  <si>
    <t>Planters</t>
  </si>
  <si>
    <t>Planters - 1140</t>
  </si>
  <si>
    <t>Quarry</t>
  </si>
  <si>
    <t>Quarry - 1030</t>
  </si>
  <si>
    <t>Sand pit quarry or open cast mine</t>
  </si>
  <si>
    <t>Standard Tree</t>
  </si>
  <si>
    <t>Standard Tree - 1170</t>
  </si>
  <si>
    <t>Urban Tree</t>
  </si>
  <si>
    <t>SUDS</t>
  </si>
  <si>
    <t>SUDS - 1192</t>
  </si>
  <si>
    <t>SUDS - 1119</t>
  </si>
  <si>
    <t>Sustainable urban drainage feature</t>
  </si>
  <si>
    <t>Wall</t>
  </si>
  <si>
    <t>Wall - u1e</t>
  </si>
  <si>
    <t>Conifer Woodland</t>
  </si>
  <si>
    <t>Conifer Woodland - w2c</t>
  </si>
  <si>
    <t>Conifer Woodland - w2b</t>
  </si>
  <si>
    <t>Other Scot's Pine woodland</t>
  </si>
  <si>
    <t>Native Broadleaved Woodland</t>
  </si>
  <si>
    <t>Native Broadleaved Woodland - w1g</t>
  </si>
  <si>
    <t>Native Mixed Woodland</t>
  </si>
  <si>
    <t>Native Mixed Woodland - w1h</t>
  </si>
  <si>
    <t>Version 1.0.0</t>
  </si>
  <si>
    <t>Version</t>
  </si>
  <si>
    <t>Small sites metric version history</t>
  </si>
  <si>
    <t>Changes made</t>
  </si>
  <si>
    <t>Date released</t>
  </si>
  <si>
    <t>Initial statutory version</t>
  </si>
  <si>
    <t>29th November 2023</t>
  </si>
  <si>
    <t>Version 1.0.1</t>
  </si>
  <si>
    <t>12th February 2024</t>
  </si>
  <si>
    <t>Version 1.2.0</t>
  </si>
  <si>
    <t>Fixed some discrepancies in difficulty of creation and enhancement for 3 habitat types</t>
  </si>
  <si>
    <t>5th March 2024</t>
  </si>
  <si>
    <t>Version 1.2.1</t>
  </si>
  <si>
    <t xml:space="preserve">Small Sites Metric 
(The Statutory Biodiversity Metric) 
</t>
  </si>
  <si>
    <t xml:space="preserve">11. Optional target increase in units if baseline value is zero </t>
  </si>
  <si>
    <t xml:space="preserve">Designated sites and priority habitats </t>
  </si>
  <si>
    <t>European protected species</t>
  </si>
  <si>
    <t>22. Any european protected species present on site</t>
  </si>
  <si>
    <t>23. Site walkover completed?</t>
  </si>
  <si>
    <t>24. Date of site walkover - DD/MM/YY</t>
  </si>
  <si>
    <t>25. Who completed the walkover? 
(Name and job title)</t>
  </si>
  <si>
    <t>26. Any additional information or notes</t>
  </si>
  <si>
    <t>Updated to correct some labelling errors, minor forumla errors and expand column widths</t>
  </si>
  <si>
    <t xml:space="preserve">Unlocked Strategic Significance selection box for individual trees. Locked additional cells. Added version history. European protected species added to desktop assessment tab. Setting a unit target with a zero unit baseline is now optional for each module. The options for planning application type have been restricted. </t>
  </si>
  <si>
    <t>23rd July 2024</t>
  </si>
  <si>
    <t>Version 1.2.2</t>
  </si>
  <si>
    <t>Fix made to error specific to Version 1.2.1 relating to area checker on Area Habitats tab.</t>
  </si>
  <si>
    <t>24th July 2024</t>
  </si>
  <si>
    <t>Version 1.2.3 Release Date:</t>
  </si>
  <si>
    <t>10a. Area habitats</t>
  </si>
  <si>
    <t>10b. Hedgerows</t>
  </si>
  <si>
    <t>11a. Area habitat units</t>
  </si>
  <si>
    <t>Area habitat units</t>
  </si>
  <si>
    <t>Area habitat units required to meet target</t>
  </si>
  <si>
    <t>Version 1.2.3</t>
  </si>
  <si>
    <t>Difficulty of creation for actively worked sand pit quarry or open cast mine changed to medium for consistency with the main metric, 'habitat units' corrected to 'area habitat units' where appropriate.</t>
  </si>
  <si>
    <t>3rd July 2025</t>
  </si>
  <si>
    <t>Barnsley MBC</t>
  </si>
  <si>
    <t>Toad Hall Farm</t>
  </si>
  <si>
    <t>W Watts</t>
  </si>
  <si>
    <t>PP-14327567</t>
  </si>
  <si>
    <t>Mrs Dianne Brown AssocRICS - Planning Surveyor</t>
  </si>
  <si>
    <t>BNG Assessment - Toad Hall Farm</t>
  </si>
  <si>
    <t>Other</t>
  </si>
  <si>
    <t>No</t>
  </si>
  <si>
    <t>Within 500m of site boundary</t>
  </si>
  <si>
    <t>Deciduos Woodlannd, Ancient &amp; Semi-Natural Woodland</t>
  </si>
  <si>
    <t>Defra MAGIC database</t>
  </si>
  <si>
    <t>Walkover completed by competent person</t>
  </si>
  <si>
    <t>Erection of an agricultural building</t>
  </si>
  <si>
    <t>Loss of area due to building footprint</t>
  </si>
  <si>
    <t>Existing farm access track &amp; yard</t>
  </si>
  <si>
    <t>New building floor area</t>
  </si>
  <si>
    <t>Part of field on the East side of the drive</t>
  </si>
  <si>
    <t>Length of hedgerow within the red-line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</si>
</sst>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0.0000"/>
    <numFmt numFmtId="166" formatCode="_-&quot;£&quot;* #,##0_-;\-&quot;£&quot;* #,##0_-;_-&quot;£&quot;* &quot;-&quot;??_-;_-@_-"/>
    <numFmt numFmtId="167" formatCode="[$-F800]dddd\,\ mmmm\ dd\,\ yyyy"/>
  </numFmts>
  <fonts count="56"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b/>
      <sz val="16"/>
      <color theme="1"/>
      <name val="Calibri"/>
      <family val="2"/>
      <scheme val="minor"/>
    </font>
    <font>
      <sz val="10"/>
      <name val="Arial"/>
      <family val="2"/>
    </font>
    <font>
      <b/>
      <sz val="24"/>
      <color theme="1"/>
      <name val="Calibri"/>
      <family val="2"/>
      <scheme val="minor"/>
    </font>
    <font>
      <i/>
      <sz val="14"/>
      <color rgb="FFFFFFFF"/>
      <name val="Calibri"/>
      <family val="2"/>
      <scheme val="minor"/>
    </font>
    <font>
      <b/>
      <sz val="22"/>
      <color theme="1"/>
      <name val="Calibri"/>
      <family val="2"/>
      <scheme val="minor"/>
    </font>
    <font>
      <b/>
      <sz val="12"/>
      <name val="Calibri"/>
      <family val="2"/>
      <scheme val="minor"/>
    </font>
    <font>
      <b/>
      <sz val="12"/>
      <color theme="0"/>
      <name val="Calibri"/>
      <family val="2"/>
      <scheme val="minor"/>
    </font>
    <font>
      <sz val="11"/>
      <color theme="1"/>
      <name val="Calibri"/>
      <family val="2"/>
      <scheme val="minor"/>
    </font>
    <font>
      <b/>
      <sz val="11"/>
      <color theme="0"/>
      <name val="Calibri"/>
      <family val="2"/>
      <scheme val="minor"/>
    </font>
    <font>
      <sz val="11"/>
      <name val="Calibri"/>
      <family val="2"/>
    </font>
    <font>
      <u/>
      <sz val="11"/>
      <name val="Calibri"/>
      <family val="2"/>
    </font>
    <font>
      <b/>
      <sz val="14"/>
      <color rgb="FFFFFFFF"/>
      <name val="Calibri"/>
      <family val="2"/>
      <scheme val="minor"/>
    </font>
    <font>
      <sz val="12"/>
      <color theme="1"/>
      <name val="Calibri"/>
      <family val="2"/>
      <scheme val="minor"/>
    </font>
    <font>
      <sz val="14"/>
      <color theme="1"/>
      <name val="Calibri"/>
      <family val="2"/>
      <scheme val="minor"/>
    </font>
    <font>
      <sz val="12"/>
      <color theme="1"/>
      <name val="Arial"/>
      <family val="2"/>
    </font>
    <font>
      <sz val="8"/>
      <name val="Calibri"/>
      <family val="2"/>
      <scheme val="minor"/>
    </font>
    <font>
      <b/>
      <sz val="14"/>
      <color theme="0"/>
      <name val="Calibri"/>
      <family val="2"/>
      <scheme val="minor"/>
    </font>
    <font>
      <b/>
      <i/>
      <sz val="14"/>
      <color rgb="FFFFFFFF"/>
      <name val="Calibri"/>
      <family val="2"/>
      <scheme val="minor"/>
    </font>
    <font>
      <b/>
      <sz val="14"/>
      <name val="Calibri"/>
      <family val="2"/>
      <scheme val="minor"/>
    </font>
    <font>
      <sz val="12"/>
      <name val="Calibri"/>
      <family val="2"/>
      <scheme val="minor"/>
    </font>
    <font>
      <b/>
      <sz val="28"/>
      <color theme="1"/>
      <name val="Calibri"/>
      <family val="2"/>
      <scheme val="minor"/>
    </font>
    <font>
      <sz val="12"/>
      <color theme="0"/>
      <name val="Calibri"/>
      <family val="2"/>
      <scheme val="minor"/>
    </font>
    <font>
      <b/>
      <sz val="20"/>
      <color theme="1"/>
      <name val="Calibri"/>
      <family val="2"/>
      <scheme val="minor"/>
    </font>
    <font>
      <sz val="11"/>
      <color rgb="FF9C5700"/>
      <name val="Calibri"/>
      <family val="2"/>
      <scheme val="minor"/>
    </font>
    <font>
      <sz val="11"/>
      <color theme="0"/>
      <name val="Calibri"/>
      <family val="2"/>
      <scheme val="minor"/>
    </font>
    <font>
      <b/>
      <vertAlign val="superscript"/>
      <sz val="14"/>
      <color theme="0"/>
      <name val="Calibri"/>
      <family val="2"/>
      <scheme val="minor"/>
    </font>
    <font>
      <sz val="14"/>
      <color rgb="FF9C5700"/>
      <name val="Calibri"/>
      <family val="2"/>
      <scheme val="minor"/>
    </font>
    <font>
      <b/>
      <sz val="11"/>
      <color theme="0"/>
      <name val="Calibri"/>
      <family val="2"/>
    </font>
    <font>
      <b/>
      <sz val="22"/>
      <color theme="0"/>
      <name val="Calibri"/>
      <family val="2"/>
      <scheme val="minor"/>
    </font>
    <font>
      <sz val="12"/>
      <color rgb="FFFF0000"/>
      <name val="Calibri"/>
      <family val="2"/>
      <scheme val="minor"/>
    </font>
    <font>
      <b/>
      <sz val="12"/>
      <color theme="1"/>
      <name val="Calibri"/>
      <family val="2"/>
      <scheme val="minor"/>
    </font>
    <font>
      <b/>
      <u/>
      <sz val="16"/>
      <color theme="1"/>
      <name val="Calibri"/>
      <family val="2"/>
      <scheme val="minor"/>
    </font>
    <font>
      <u/>
      <sz val="11"/>
      <color theme="1"/>
      <name val="Calibri"/>
      <family val="2"/>
      <scheme val="minor"/>
    </font>
    <font>
      <sz val="11"/>
      <color theme="4" tint="0.39997558519241921"/>
      <name val="Calibri"/>
      <family val="2"/>
      <scheme val="minor"/>
    </font>
    <font>
      <sz val="10"/>
      <color theme="1"/>
      <name val="Arial"/>
      <family val="2"/>
    </font>
    <font>
      <sz val="11"/>
      <color rgb="FFF2F0D9"/>
      <name val="Calibri"/>
      <family val="2"/>
      <scheme val="minor"/>
    </font>
    <font>
      <b/>
      <u/>
      <sz val="14"/>
      <color theme="1"/>
      <name val="Calibri"/>
      <family val="2"/>
      <scheme val="minor"/>
    </font>
    <font>
      <b/>
      <sz val="11"/>
      <color rgb="FFF2F0D9"/>
      <name val="Calibri"/>
      <family val="2"/>
      <scheme val="minor"/>
    </font>
    <font>
      <b/>
      <sz val="10"/>
      <color theme="0"/>
      <name val="Arial"/>
      <family val="2"/>
    </font>
    <font>
      <b/>
      <sz val="11"/>
      <color rgb="FFFF0000"/>
      <name val="Calibri"/>
      <family val="2"/>
      <scheme val="minor"/>
    </font>
    <font>
      <sz val="11"/>
      <color theme="1"/>
      <name val="Abadi Extra Light"/>
      <family val="2"/>
      <charset val="1"/>
    </font>
    <font>
      <b/>
      <vertAlign val="superscript"/>
      <sz val="12"/>
      <color theme="0"/>
      <name val="Calibri"/>
      <family val="2"/>
      <scheme val="minor"/>
    </font>
    <font>
      <sz val="11"/>
      <color rgb="FFFFCCFF"/>
      <name val="Calibri"/>
      <family val="2"/>
      <scheme val="minor"/>
    </font>
    <font>
      <sz val="11"/>
      <color rgb="FFF2EAD9"/>
      <name val="Calibri"/>
      <family val="2"/>
      <scheme val="minor"/>
    </font>
    <font>
      <sz val="12"/>
      <color rgb="FFF2F0D9"/>
      <name val="Calibri"/>
      <family val="2"/>
      <scheme val="minor"/>
    </font>
    <font>
      <sz val="12"/>
      <name val="Segoe UI Symbol"/>
      <family val="2"/>
    </font>
    <font>
      <b/>
      <sz val="14"/>
      <color theme="9" tint="0.39997558519241921"/>
      <name val="Calibri"/>
      <family val="2"/>
      <scheme val="minor"/>
    </font>
    <font>
      <b/>
      <sz val="14"/>
      <color theme="0" tint="-0.249977111117893"/>
      <name val="Calibri"/>
      <family val="2"/>
      <scheme val="minor"/>
    </font>
    <font>
      <b/>
      <sz val="10"/>
      <color theme="0"/>
      <name val="Calibri"/>
      <family val="2"/>
      <scheme val="minor"/>
    </font>
    <font>
      <b/>
      <u/>
      <sz val="16"/>
      <name val="Calibri"/>
      <family val="2"/>
      <scheme val="minor"/>
    </font>
  </fonts>
  <fills count="36">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2F0D9"/>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rgb="FFFFEB9C"/>
      </patternFill>
    </fill>
    <fill>
      <patternFill patternType="solid">
        <fgColor theme="7" tint="0.59999389629810485"/>
        <bgColor indexed="64"/>
      </patternFill>
    </fill>
    <fill>
      <patternFill patternType="solid">
        <fgColor rgb="FFFF505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5E5C"/>
        <bgColor indexed="64"/>
      </patternFill>
    </fill>
    <fill>
      <patternFill patternType="solid">
        <fgColor rgb="FFFFDDFF"/>
        <bgColor indexed="64"/>
      </patternFill>
    </fill>
    <fill>
      <patternFill patternType="solid">
        <fgColor rgb="FFFFFF99"/>
        <bgColor indexed="64"/>
      </patternFill>
    </fill>
    <fill>
      <patternFill patternType="solid">
        <fgColor rgb="FFE2C4A6"/>
        <bgColor indexed="64"/>
      </patternFill>
    </fill>
    <fill>
      <patternFill patternType="solid">
        <fgColor rgb="FFC00000"/>
        <bgColor indexed="64"/>
      </patternFill>
    </fill>
    <fill>
      <patternFill patternType="solid">
        <fgColor rgb="FF305496"/>
        <bgColor indexed="64"/>
      </patternFill>
    </fill>
    <fill>
      <patternFill patternType="solid">
        <fgColor rgb="FFFFC000"/>
        <bgColor indexed="64"/>
      </patternFill>
    </fill>
    <fill>
      <patternFill patternType="solid">
        <fgColor rgb="FFF2F2F2"/>
        <bgColor indexed="64"/>
      </patternFill>
    </fill>
    <fill>
      <patternFill patternType="solid">
        <fgColor rgb="FF7B7B7B"/>
        <bgColor indexed="64"/>
      </patternFill>
    </fill>
    <fill>
      <patternFill patternType="solid">
        <fgColor rgb="FFBDD7EE"/>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0" tint="-0.249977111117893"/>
        <bgColor indexed="64"/>
      </patternFill>
    </fill>
  </fills>
  <borders count="8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s>
  <cellStyleXfs count="33">
    <xf numFmtId="0" fontId="0"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13" fillId="0" borderId="0"/>
    <xf numFmtId="0" fontId="7" fillId="0" borderId="0"/>
    <xf numFmtId="0" fontId="7" fillId="0" borderId="0"/>
    <xf numFmtId="0" fontId="20"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9" fillId="15"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13" fillId="0" borderId="0" applyFont="0" applyFill="0" applyBorder="0" applyAlignment="0" applyProtection="0"/>
  </cellStyleXfs>
  <cellXfs count="1065">
    <xf numFmtId="0" fontId="0" fillId="0" borderId="0" xfId="0"/>
    <xf numFmtId="0" fontId="0" fillId="0" borderId="19"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4" borderId="29"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19" xfId="0" applyFill="1" applyBorder="1" applyAlignment="1" applyProtection="1">
      <alignment horizontal="left" vertical="top" wrapText="1"/>
      <protection locked="0"/>
    </xf>
    <xf numFmtId="0" fontId="0" fillId="0" borderId="16" xfId="0" applyBorder="1" applyAlignment="1" applyProtection="1">
      <alignment horizontal="center" vertical="center" wrapText="1"/>
      <protection locked="0"/>
    </xf>
    <xf numFmtId="0" fontId="0" fillId="0" borderId="18" xfId="0" applyBorder="1" applyAlignment="1">
      <alignment horizontal="center" vertical="center"/>
    </xf>
    <xf numFmtId="0" fontId="0" fillId="4" borderId="16" xfId="0" applyFill="1" applyBorder="1" applyAlignment="1" applyProtection="1">
      <alignment horizontal="left" vertical="top" wrapText="1"/>
      <protection locked="0"/>
    </xf>
    <xf numFmtId="0" fontId="0" fillId="0" borderId="18" xfId="0" applyBorder="1" applyAlignment="1">
      <alignment horizontal="center" vertical="center" wrapText="1"/>
    </xf>
    <xf numFmtId="165" fontId="0" fillId="0" borderId="18" xfId="0" applyNumberFormat="1" applyBorder="1" applyAlignment="1">
      <alignment horizontal="center" vertical="center"/>
    </xf>
    <xf numFmtId="0" fontId="0" fillId="3" borderId="0" xfId="0" applyFill="1"/>
    <xf numFmtId="0" fontId="0" fillId="0" borderId="29"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15" fillId="0" borderId="18" xfId="0" applyFont="1" applyBorder="1" applyAlignment="1">
      <alignment horizontal="center" vertical="center" wrapText="1"/>
    </xf>
    <xf numFmtId="17" fontId="0" fillId="0" borderId="18" xfId="0" applyNumberFormat="1" applyBorder="1" applyAlignment="1">
      <alignment horizontal="center" vertical="center" wrapText="1"/>
    </xf>
    <xf numFmtId="0" fontId="0" fillId="0" borderId="18" xfId="0" applyBorder="1"/>
    <xf numFmtId="0" fontId="0" fillId="0" borderId="0" xfId="0" applyAlignment="1">
      <alignment horizontal="center" vertical="center"/>
    </xf>
    <xf numFmtId="0" fontId="0" fillId="0" borderId="18" xfId="0" applyBorder="1" applyAlignment="1">
      <alignment wrapText="1"/>
    </xf>
    <xf numFmtId="0" fontId="0" fillId="0" borderId="0" xfId="0" applyAlignment="1">
      <alignment horizontal="center" vertical="center" wrapText="1"/>
    </xf>
    <xf numFmtId="0" fontId="0" fillId="0" borderId="18" xfId="0" applyBorder="1" applyAlignment="1">
      <alignment horizontal="center" vertical="top" wrapText="1"/>
    </xf>
    <xf numFmtId="0" fontId="0" fillId="0" borderId="15" xfId="0" applyBorder="1" applyAlignment="1" applyProtection="1">
      <alignment horizontal="center" vertical="center" wrapText="1"/>
      <protection locked="0"/>
    </xf>
    <xf numFmtId="0" fontId="4" fillId="0" borderId="18" xfId="0" applyFont="1" applyBorder="1" applyAlignment="1">
      <alignment horizontal="center" vertical="center"/>
    </xf>
    <xf numFmtId="164" fontId="4" fillId="0" borderId="18" xfId="0" applyNumberFormat="1" applyFont="1" applyBorder="1" applyAlignment="1">
      <alignment horizontal="center" vertical="center"/>
    </xf>
    <xf numFmtId="0" fontId="0" fillId="12" borderId="0" xfId="0" applyFill="1"/>
    <xf numFmtId="0" fontId="1" fillId="12" borderId="0" xfId="0" applyFont="1" applyFill="1"/>
    <xf numFmtId="0" fontId="19" fillId="12" borderId="0" xfId="0" applyFont="1" applyFill="1"/>
    <xf numFmtId="2" fontId="0" fillId="12" borderId="0" xfId="0" applyNumberFormat="1" applyFill="1" applyAlignment="1">
      <alignment vertical="center"/>
    </xf>
    <xf numFmtId="0" fontId="0" fillId="12" borderId="0" xfId="0" applyFill="1" applyAlignment="1">
      <alignment vertical="center"/>
    </xf>
    <xf numFmtId="0" fontId="0" fillId="12" borderId="0" xfId="0" applyFill="1" applyAlignment="1">
      <alignment wrapText="1"/>
    </xf>
    <xf numFmtId="0" fontId="24" fillId="4" borderId="48" xfId="1" applyFont="1" applyFill="1" applyBorder="1" applyAlignment="1" applyProtection="1">
      <alignment horizontal="center" vertical="center"/>
      <protection locked="0"/>
    </xf>
    <xf numFmtId="0" fontId="24" fillId="4" borderId="49" xfId="1" applyFont="1" applyFill="1" applyBorder="1" applyAlignment="1" applyProtection="1">
      <alignment horizontal="center" vertical="center"/>
      <protection locked="0"/>
    </xf>
    <xf numFmtId="2" fontId="24" fillId="4" borderId="26" xfId="1" applyNumberFormat="1" applyFont="1" applyFill="1" applyBorder="1" applyAlignment="1" applyProtection="1">
      <alignment horizontal="center" vertical="center"/>
      <protection locked="0"/>
    </xf>
    <xf numFmtId="2" fontId="24" fillId="4" borderId="29" xfId="1" applyNumberFormat="1" applyFont="1" applyFill="1" applyBorder="1" applyAlignment="1" applyProtection="1">
      <alignment horizontal="center" vertical="center"/>
      <protection locked="0"/>
    </xf>
    <xf numFmtId="2" fontId="24" fillId="4" borderId="14" xfId="1" applyNumberFormat="1" applyFont="1" applyFill="1" applyBorder="1" applyAlignment="1" applyProtection="1">
      <alignment horizontal="center" vertical="center"/>
      <protection locked="0"/>
    </xf>
    <xf numFmtId="0" fontId="22" fillId="5" borderId="11" xfId="0" applyFont="1" applyFill="1" applyBorder="1" applyAlignment="1">
      <alignment horizontal="center" vertical="center" wrapText="1"/>
    </xf>
    <xf numFmtId="0" fontId="22" fillId="5" borderId="25" xfId="0" applyFont="1" applyFill="1" applyBorder="1" applyAlignment="1">
      <alignment horizontal="center" vertical="center" wrapText="1"/>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5" fillId="12" borderId="0" xfId="0" applyFont="1" applyFill="1" applyAlignment="1">
      <alignment vertical="center"/>
    </xf>
    <xf numFmtId="0" fontId="29" fillId="12" borderId="0" xfId="21" applyFill="1"/>
    <xf numFmtId="0" fontId="22" fillId="5" borderId="28" xfId="0" applyFont="1" applyFill="1" applyBorder="1" applyAlignment="1">
      <alignment horizontal="center" vertical="center" wrapText="1"/>
    </xf>
    <xf numFmtId="0" fontId="32" fillId="12" borderId="0" xfId="21" applyFont="1" applyFill="1" applyAlignment="1">
      <alignment horizontal="center" vertical="center"/>
    </xf>
    <xf numFmtId="0" fontId="32" fillId="12" borderId="0" xfId="21" applyFont="1" applyFill="1" applyBorder="1" applyAlignment="1">
      <alignment horizontal="center" vertical="center" wrapText="1"/>
    </xf>
    <xf numFmtId="0" fontId="32" fillId="7" borderId="26" xfId="21" applyFont="1" applyFill="1" applyBorder="1" applyAlignment="1">
      <alignment horizontal="center" vertical="center" wrapText="1"/>
    </xf>
    <xf numFmtId="0" fontId="5" fillId="12" borderId="0" xfId="0" applyFont="1" applyFill="1" applyAlignment="1">
      <alignment horizontal="left" vertical="center"/>
    </xf>
    <xf numFmtId="0" fontId="0" fillId="12" borderId="0" xfId="0" applyFill="1" applyAlignment="1">
      <alignment horizontal="center" vertical="center"/>
    </xf>
    <xf numFmtId="0" fontId="0" fillId="12" borderId="0" xfId="0" applyFill="1" applyAlignment="1">
      <alignment horizontal="center" vertical="center" wrapText="1"/>
    </xf>
    <xf numFmtId="0" fontId="14" fillId="5" borderId="18" xfId="0" applyFont="1" applyFill="1" applyBorder="1" applyAlignment="1">
      <alignment horizontal="center" vertical="center" wrapText="1"/>
    </xf>
    <xf numFmtId="0" fontId="14" fillId="5" borderId="18" xfId="0" applyFont="1" applyFill="1" applyBorder="1" applyAlignment="1">
      <alignment horizontal="center" vertical="center"/>
    </xf>
    <xf numFmtId="2" fontId="11" fillId="7" borderId="39" xfId="0" applyNumberFormat="1" applyFont="1" applyFill="1" applyBorder="1" applyAlignment="1">
      <alignment vertical="center" wrapText="1"/>
    </xf>
    <xf numFmtId="0" fontId="26" fillId="12" borderId="0" xfId="0" applyFont="1" applyFill="1" applyAlignment="1">
      <alignment vertical="center" wrapText="1"/>
    </xf>
    <xf numFmtId="0" fontId="26" fillId="12" borderId="0" xfId="0" applyFont="1" applyFill="1" applyAlignment="1">
      <alignment vertical="center"/>
    </xf>
    <xf numFmtId="0" fontId="6" fillId="12" borderId="0" xfId="0" applyFont="1" applyFill="1" applyAlignment="1">
      <alignment vertical="center"/>
    </xf>
    <xf numFmtId="0" fontId="0" fillId="0" borderId="0" xfId="0" applyAlignment="1">
      <alignment vertical="center"/>
    </xf>
    <xf numFmtId="0" fontId="37" fillId="12" borderId="0" xfId="0" applyFont="1" applyFill="1" applyAlignment="1">
      <alignment vertical="center"/>
    </xf>
    <xf numFmtId="0" fontId="37" fillId="12" borderId="0" xfId="0" applyFont="1" applyFill="1"/>
    <xf numFmtId="0" fontId="0" fillId="16" borderId="0" xfId="0" applyFill="1"/>
    <xf numFmtId="0" fontId="38" fillId="12" borderId="0" xfId="0" applyFont="1" applyFill="1"/>
    <xf numFmtId="0" fontId="39" fillId="12" borderId="0" xfId="0" applyFont="1" applyFill="1"/>
    <xf numFmtId="0" fontId="0" fillId="0" borderId="28" xfId="0" applyBorder="1" applyAlignment="1" applyProtection="1">
      <alignment horizontal="center" vertical="center" wrapText="1"/>
      <protection locked="0"/>
    </xf>
    <xf numFmtId="0" fontId="2" fillId="9" borderId="18" xfId="0" applyFont="1" applyFill="1" applyBorder="1" applyAlignment="1">
      <alignment horizontal="center" vertical="center" wrapText="1"/>
    </xf>
    <xf numFmtId="0" fontId="2" fillId="10" borderId="28" xfId="0" applyFont="1" applyFill="1" applyBorder="1" applyAlignment="1">
      <alignment horizontal="center" vertical="center" wrapText="1"/>
    </xf>
    <xf numFmtId="0" fontId="0" fillId="0" borderId="41" xfId="0" applyBorder="1"/>
    <xf numFmtId="0" fontId="14" fillId="5" borderId="17" xfId="0" applyFont="1" applyFill="1" applyBorder="1" applyAlignment="1">
      <alignment horizontal="center" vertical="center"/>
    </xf>
    <xf numFmtId="0" fontId="0" fillId="0" borderId="64" xfId="0" applyBorder="1"/>
    <xf numFmtId="0" fontId="0" fillId="4" borderId="23" xfId="0" applyFill="1" applyBorder="1" applyAlignment="1" applyProtection="1">
      <alignment horizontal="left" vertical="top" wrapText="1"/>
      <protection locked="0"/>
    </xf>
    <xf numFmtId="0" fontId="0" fillId="4" borderId="38" xfId="0" applyFill="1" applyBorder="1" applyAlignment="1" applyProtection="1">
      <alignment horizontal="left" vertical="top" wrapText="1"/>
      <protection locked="0"/>
    </xf>
    <xf numFmtId="0" fontId="0" fillId="4" borderId="60" xfId="0" applyFill="1" applyBorder="1" applyAlignment="1" applyProtection="1">
      <alignment horizontal="left" vertical="top" wrapText="1"/>
      <protection locked="0"/>
    </xf>
    <xf numFmtId="0" fontId="0" fillId="4" borderId="12" xfId="0" applyFill="1" applyBorder="1" applyAlignment="1" applyProtection="1">
      <alignment horizontal="left" vertical="top" wrapText="1"/>
      <protection locked="0"/>
    </xf>
    <xf numFmtId="0" fontId="0" fillId="0" borderId="41"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4" borderId="20" xfId="0" applyFill="1" applyBorder="1" applyAlignment="1" applyProtection="1">
      <alignment horizontal="center" vertical="center" wrapText="1"/>
      <protection locked="0"/>
    </xf>
    <xf numFmtId="0" fontId="0" fillId="4" borderId="28" xfId="0"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0" fillId="0" borderId="64" xfId="0" applyBorder="1" applyAlignment="1" applyProtection="1">
      <alignment horizontal="center" vertical="center" wrapText="1"/>
      <protection locked="0"/>
    </xf>
    <xf numFmtId="0" fontId="22" fillId="5" borderId="5" xfId="0" applyFont="1" applyFill="1" applyBorder="1" applyAlignment="1">
      <alignment horizontal="center"/>
    </xf>
    <xf numFmtId="0" fontId="35" fillId="12" borderId="0" xfId="0" applyFont="1" applyFill="1" applyAlignment="1">
      <alignment vertical="center" wrapText="1"/>
    </xf>
    <xf numFmtId="0" fontId="22" fillId="5" borderId="47" xfId="0" applyFont="1" applyFill="1" applyBorder="1" applyAlignment="1">
      <alignment horizontal="center"/>
    </xf>
    <xf numFmtId="0" fontId="12" fillId="5" borderId="28" xfId="0" applyFont="1" applyFill="1" applyBorder="1" applyAlignment="1">
      <alignment horizontal="center" vertical="center" wrapText="1"/>
    </xf>
    <xf numFmtId="0" fontId="35" fillId="12" borderId="0" xfId="0" applyFont="1" applyFill="1" applyAlignment="1">
      <alignment horizontal="center" vertical="center" wrapText="1"/>
    </xf>
    <xf numFmtId="0" fontId="0" fillId="12" borderId="0" xfId="0" applyFill="1" applyAlignment="1">
      <alignment horizontal="center" wrapText="1"/>
    </xf>
    <xf numFmtId="0" fontId="12" fillId="5" borderId="11" xfId="0" applyFont="1" applyFill="1" applyBorder="1" applyAlignment="1">
      <alignment horizontal="center" vertical="center" wrapText="1"/>
    </xf>
    <xf numFmtId="0" fontId="28" fillId="12" borderId="0" xfId="0" applyFont="1" applyFill="1" applyAlignment="1">
      <alignment horizontal="center" vertical="center" wrapText="1"/>
    </xf>
    <xf numFmtId="0" fontId="2" fillId="12" borderId="0" xfId="0" applyFont="1" applyFill="1"/>
    <xf numFmtId="0" fontId="1" fillId="12" borderId="0" xfId="0" applyFont="1" applyFill="1" applyAlignment="1">
      <alignment wrapText="1"/>
    </xf>
    <xf numFmtId="0" fontId="12" fillId="5" borderId="14"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4" fillId="5" borderId="29" xfId="0" applyFont="1" applyFill="1" applyBorder="1" applyAlignment="1">
      <alignment horizontal="center" vertical="center" wrapText="1"/>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18" xfId="0" applyFill="1" applyBorder="1" applyAlignment="1">
      <alignment horizontal="center" vertical="center" wrapText="1"/>
    </xf>
    <xf numFmtId="2" fontId="0" fillId="2" borderId="29" xfId="0" applyNumberFormat="1" applyFill="1" applyBorder="1" applyAlignment="1">
      <alignment horizontal="center" vertical="center" wrapText="1"/>
    </xf>
    <xf numFmtId="0" fontId="0" fillId="7" borderId="8"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3" xfId="0" applyFill="1" applyBorder="1" applyAlignment="1">
      <alignment horizontal="center" vertical="center" wrapText="1"/>
    </xf>
    <xf numFmtId="2" fontId="0" fillId="2" borderId="13" xfId="0" applyNumberFormat="1" applyFill="1" applyBorder="1" applyAlignment="1">
      <alignment horizontal="center" vertical="center" wrapText="1"/>
    </xf>
    <xf numFmtId="2" fontId="0" fillId="2" borderId="14" xfId="0" applyNumberFormat="1" applyFill="1" applyBorder="1" applyAlignment="1">
      <alignment horizontal="center" vertical="center" wrapText="1"/>
    </xf>
    <xf numFmtId="0" fontId="1" fillId="12" borderId="0" xfId="0" applyFont="1" applyFill="1" applyAlignment="1">
      <alignment horizontal="center" wrapText="1"/>
    </xf>
    <xf numFmtId="0" fontId="10" fillId="3" borderId="0" xfId="0" applyFont="1" applyFill="1" applyAlignment="1">
      <alignment horizontal="center" vertical="center" textRotation="90"/>
    </xf>
    <xf numFmtId="0" fontId="4" fillId="19" borderId="46" xfId="0" applyFont="1" applyFill="1" applyBorder="1" applyAlignment="1">
      <alignment horizontal="center" vertical="center"/>
    </xf>
    <xf numFmtId="1" fontId="0" fillId="12" borderId="0" xfId="0" applyNumberFormat="1" applyFill="1"/>
    <xf numFmtId="164" fontId="0" fillId="2" borderId="29" xfId="0" applyNumberFormat="1" applyFill="1" applyBorder="1" applyAlignment="1">
      <alignment horizontal="center" vertical="center" wrapText="1"/>
    </xf>
    <xf numFmtId="0" fontId="4" fillId="7" borderId="9" xfId="0" applyFont="1" applyFill="1" applyBorder="1" applyAlignment="1">
      <alignment horizontal="center" vertical="center"/>
    </xf>
    <xf numFmtId="0" fontId="4" fillId="7" borderId="3" xfId="0" applyFont="1" applyFill="1" applyBorder="1" applyAlignment="1">
      <alignment horizontal="center" vertical="center"/>
    </xf>
    <xf numFmtId="164" fontId="0" fillId="2" borderId="14" xfId="0" applyNumberForma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0" fillId="2" borderId="21"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3" xfId="0" applyFill="1" applyBorder="1" applyAlignment="1">
      <alignment horizontal="center" vertical="center" wrapText="1"/>
    </xf>
    <xf numFmtId="164" fontId="0" fillId="2" borderId="19" xfId="0" applyNumberFormat="1" applyFill="1" applyBorder="1" applyAlignment="1">
      <alignment horizontal="center" vertical="center" wrapText="1"/>
    </xf>
    <xf numFmtId="0" fontId="0" fillId="7" borderId="28" xfId="0" applyFill="1" applyBorder="1" applyAlignment="1">
      <alignment horizontal="center" vertical="center" wrapText="1"/>
    </xf>
    <xf numFmtId="0" fontId="22" fillId="5" borderId="26" xfId="0" applyFont="1" applyFill="1" applyBorder="1" applyAlignment="1">
      <alignment horizontal="center" vertical="center" wrapText="1"/>
    </xf>
    <xf numFmtId="0" fontId="25" fillId="7" borderId="18" xfId="0" applyFont="1" applyFill="1" applyBorder="1" applyAlignment="1">
      <alignment horizontal="center" vertical="center" wrapText="1"/>
    </xf>
    <xf numFmtId="165" fontId="25" fillId="7" borderId="18" xfId="0" applyNumberFormat="1" applyFont="1" applyFill="1" applyBorder="1" applyAlignment="1">
      <alignment horizontal="center" vertical="center" wrapText="1"/>
    </xf>
    <xf numFmtId="165" fontId="25" fillId="7" borderId="29" xfId="0" applyNumberFormat="1" applyFont="1" applyFill="1" applyBorder="1" applyAlignment="1">
      <alignment horizontal="center" vertical="center" wrapText="1"/>
    </xf>
    <xf numFmtId="0" fontId="25" fillId="7" borderId="18" xfId="0" applyFont="1" applyFill="1" applyBorder="1" applyAlignment="1">
      <alignment horizontal="center" vertical="center"/>
    </xf>
    <xf numFmtId="165" fontId="25" fillId="7" borderId="29" xfId="0" applyNumberFormat="1" applyFont="1" applyFill="1" applyBorder="1" applyAlignment="1">
      <alignment horizontal="center" wrapText="1"/>
    </xf>
    <xf numFmtId="0" fontId="22" fillId="5" borderId="51" xfId="0" applyFont="1" applyFill="1" applyBorder="1" applyAlignment="1">
      <alignment horizontal="center" vertical="center" wrapText="1"/>
    </xf>
    <xf numFmtId="0" fontId="22" fillId="5" borderId="52" xfId="0" applyFont="1" applyFill="1" applyBorder="1" applyAlignment="1">
      <alignment horizontal="center" vertical="center" wrapText="1"/>
    </xf>
    <xf numFmtId="0" fontId="19" fillId="12" borderId="0" xfId="0" applyFont="1" applyFill="1" applyAlignment="1">
      <alignment vertical="center" wrapText="1"/>
    </xf>
    <xf numFmtId="0" fontId="5" fillId="11" borderId="18" xfId="0" applyFont="1" applyFill="1" applyBorder="1" applyAlignment="1">
      <alignment horizontal="center"/>
    </xf>
    <xf numFmtId="0" fontId="3" fillId="8" borderId="1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40" fillId="0" borderId="64" xfId="0" applyFont="1" applyBorder="1" applyAlignment="1">
      <alignment wrapText="1"/>
    </xf>
    <xf numFmtId="0" fontId="1" fillId="12" borderId="0" xfId="0" applyFont="1" applyFill="1" applyAlignment="1">
      <alignment vertical="center" wrapText="1"/>
    </xf>
    <xf numFmtId="164" fontId="0" fillId="2" borderId="17" xfId="0" applyNumberFormat="1" applyFill="1" applyBorder="1" applyAlignment="1">
      <alignment horizontal="center" vertical="center" wrapText="1"/>
    </xf>
    <xf numFmtId="0" fontId="4" fillId="0" borderId="77" xfId="0" applyFont="1" applyBorder="1" applyAlignment="1" applyProtection="1">
      <alignment horizontal="center" vertical="center" wrapText="1"/>
      <protection locked="0"/>
    </xf>
    <xf numFmtId="0" fontId="4" fillId="19" borderId="36" xfId="0" applyFont="1" applyFill="1" applyBorder="1" applyAlignment="1">
      <alignment horizontal="center" vertical="center"/>
    </xf>
    <xf numFmtId="0" fontId="0" fillId="0" borderId="42" xfId="0" applyBorder="1" applyAlignment="1" applyProtection="1">
      <alignment horizontal="center" vertical="center" wrapText="1"/>
      <protection locked="0"/>
    </xf>
    <xf numFmtId="0" fontId="0" fillId="7" borderId="11" xfId="0" applyFill="1" applyBorder="1" applyAlignment="1">
      <alignment horizontal="center" vertical="center" wrapText="1"/>
    </xf>
    <xf numFmtId="0" fontId="4" fillId="0" borderId="26" xfId="0" applyFont="1" applyBorder="1" applyAlignment="1" applyProtection="1">
      <alignment horizontal="center" vertical="center" wrapText="1"/>
      <protection locked="0"/>
    </xf>
    <xf numFmtId="0" fontId="4" fillId="19" borderId="6" xfId="0" applyFont="1" applyFill="1" applyBorder="1" applyAlignment="1">
      <alignment horizontal="center" vertical="center"/>
    </xf>
    <xf numFmtId="0" fontId="0" fillId="0" borderId="63"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4" borderId="67" xfId="0" applyFill="1" applyBorder="1" applyAlignment="1" applyProtection="1">
      <alignment horizontal="left" vertical="top" wrapText="1"/>
      <protection locked="0"/>
    </xf>
    <xf numFmtId="0" fontId="0" fillId="4" borderId="26" xfId="0" applyFill="1" applyBorder="1" applyAlignment="1" applyProtection="1">
      <alignment horizontal="left" vertical="top" wrapText="1"/>
      <protection locked="0"/>
    </xf>
    <xf numFmtId="0" fontId="8" fillId="12" borderId="0" xfId="0" applyFont="1" applyFill="1" applyAlignment="1">
      <alignment horizontal="left"/>
    </xf>
    <xf numFmtId="0" fontId="0" fillId="12" borderId="0" xfId="0" applyFill="1" applyAlignment="1">
      <alignment horizontal="center"/>
    </xf>
    <xf numFmtId="0" fontId="23" fillId="5" borderId="5" xfId="0" applyFont="1" applyFill="1" applyBorder="1" applyAlignment="1">
      <alignment horizontal="center" vertical="center" wrapText="1"/>
    </xf>
    <xf numFmtId="0" fontId="23" fillId="5" borderId="45" xfId="0" applyFont="1" applyFill="1" applyBorder="1" applyAlignment="1">
      <alignment horizontal="center" vertical="center" wrapText="1"/>
    </xf>
    <xf numFmtId="0" fontId="23" fillId="5" borderId="47" xfId="0" applyFont="1" applyFill="1" applyBorder="1" applyAlignment="1">
      <alignment horizontal="center" vertical="center" wrapText="1"/>
    </xf>
    <xf numFmtId="0" fontId="19" fillId="0" borderId="39"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5" fillId="12" borderId="0" xfId="0" applyFont="1" applyFill="1" applyAlignment="1">
      <alignment horizontal="center" vertical="center"/>
    </xf>
    <xf numFmtId="0" fontId="12" fillId="5" borderId="25" xfId="0" applyFont="1" applyFill="1" applyBorder="1" applyAlignment="1">
      <alignment horizontal="center" vertical="center" wrapText="1"/>
    </xf>
    <xf numFmtId="1" fontId="0" fillId="0" borderId="20" xfId="0" applyNumberFormat="1" applyBorder="1" applyAlignment="1" applyProtection="1">
      <alignment horizontal="center" vertical="center" wrapText="1"/>
      <protection locked="0"/>
    </xf>
    <xf numFmtId="164" fontId="25" fillId="7" borderId="18" xfId="0" applyNumberFormat="1" applyFont="1" applyFill="1" applyBorder="1" applyAlignment="1">
      <alignment horizontal="center" vertical="center" wrapText="1"/>
    </xf>
    <xf numFmtId="0" fontId="41" fillId="12" borderId="0" xfId="0" applyFont="1" applyFill="1"/>
    <xf numFmtId="166" fontId="41" fillId="12" borderId="0" xfId="0" applyNumberFormat="1" applyFont="1" applyFill="1"/>
    <xf numFmtId="0" fontId="1" fillId="12" borderId="0" xfId="0" applyFont="1" applyFill="1" applyAlignment="1">
      <alignment vertical="center"/>
    </xf>
    <xf numFmtId="0" fontId="22" fillId="5" borderId="8" xfId="0" applyFont="1" applyFill="1" applyBorder="1" applyAlignment="1">
      <alignment horizontal="center" vertical="center" wrapText="1"/>
    </xf>
    <xf numFmtId="14" fontId="19" fillId="0" borderId="18" xfId="0" applyNumberFormat="1" applyFont="1" applyBorder="1" applyAlignment="1" applyProtection="1">
      <alignment horizontal="center" vertical="center"/>
      <protection locked="0"/>
    </xf>
    <xf numFmtId="0" fontId="5" fillId="7" borderId="29" xfId="21" applyNumberFormat="1"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5" fillId="12" borderId="0" xfId="0" applyFont="1" applyFill="1"/>
    <xf numFmtId="0" fontId="0" fillId="19" borderId="28" xfId="0" applyFill="1" applyBorder="1" applyAlignment="1">
      <alignment horizontal="center" vertical="center" wrapText="1"/>
    </xf>
    <xf numFmtId="0" fontId="0" fillId="19" borderId="11" xfId="0" applyFill="1" applyBorder="1" applyAlignment="1">
      <alignment horizontal="center" vertical="center" wrapText="1"/>
    </xf>
    <xf numFmtId="0" fontId="22" fillId="5" borderId="39" xfId="0" applyFont="1" applyFill="1" applyBorder="1" applyAlignment="1">
      <alignment horizontal="center" vertical="center"/>
    </xf>
    <xf numFmtId="0" fontId="12" fillId="5" borderId="18"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53" xfId="0" applyFill="1" applyBorder="1" applyAlignment="1">
      <alignment horizontal="center" vertical="center" wrapText="1"/>
    </xf>
    <xf numFmtId="0" fontId="0" fillId="2" borderId="40" xfId="0" applyFill="1" applyBorder="1" applyAlignment="1">
      <alignment horizontal="center" vertical="center" wrapText="1"/>
    </xf>
    <xf numFmtId="164" fontId="0" fillId="2" borderId="9" xfId="0" applyNumberFormat="1" applyFill="1" applyBorder="1" applyAlignment="1">
      <alignment horizontal="center" vertical="center" wrapText="1"/>
    </xf>
    <xf numFmtId="0" fontId="14" fillId="5" borderId="7" xfId="0" applyFont="1" applyFill="1" applyBorder="1" applyAlignment="1">
      <alignment horizontal="center" vertical="center" wrapText="1"/>
    </xf>
    <xf numFmtId="0" fontId="0" fillId="2" borderId="22"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2" xfId="0"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0" fillId="2" borderId="38" xfId="0" applyFill="1" applyBorder="1" applyAlignment="1">
      <alignment horizontal="center" vertical="center" wrapText="1"/>
    </xf>
    <xf numFmtId="0" fontId="0" fillId="2" borderId="39" xfId="0" applyFill="1" applyBorder="1" applyAlignment="1">
      <alignment horizontal="center" vertical="center"/>
    </xf>
    <xf numFmtId="0" fontId="0" fillId="7" borderId="13" xfId="0" applyFill="1" applyBorder="1" applyAlignment="1">
      <alignment horizontal="center" vertical="center" wrapText="1"/>
    </xf>
    <xf numFmtId="0" fontId="22" fillId="5" borderId="78" xfId="0" applyFont="1" applyFill="1" applyBorder="1" applyAlignment="1">
      <alignment vertical="center"/>
    </xf>
    <xf numFmtId="0" fontId="22" fillId="5" borderId="51" xfId="0" applyFont="1" applyFill="1" applyBorder="1" applyAlignment="1">
      <alignment horizontal="center" vertical="center"/>
    </xf>
    <xf numFmtId="0" fontId="22" fillId="5" borderId="52" xfId="0" applyFont="1" applyFill="1" applyBorder="1" applyAlignment="1">
      <alignment horizontal="center" vertical="center"/>
    </xf>
    <xf numFmtId="0" fontId="0" fillId="7" borderId="54" xfId="0" applyFill="1" applyBorder="1" applyAlignment="1">
      <alignment horizontal="center" vertical="center" wrapText="1"/>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5" fillId="12" borderId="0" xfId="0" applyFont="1" applyFill="1" applyAlignment="1">
      <alignment horizontal="center" vertical="center" wrapText="1"/>
    </xf>
    <xf numFmtId="0" fontId="12" fillId="5" borderId="1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22" fillId="5" borderId="11" xfId="0" applyFont="1" applyFill="1" applyBorder="1" applyAlignment="1">
      <alignment horizontal="center" vertical="center"/>
    </xf>
    <xf numFmtId="0" fontId="22" fillId="5" borderId="25" xfId="0" applyFont="1" applyFill="1" applyBorder="1" applyAlignment="1">
      <alignment horizontal="center" vertical="center"/>
    </xf>
    <xf numFmtId="0" fontId="24" fillId="4" borderId="50" xfId="1" applyFont="1" applyFill="1" applyBorder="1" applyAlignment="1" applyProtection="1">
      <alignment horizontal="center" vertical="center"/>
      <protection locked="0"/>
    </xf>
    <xf numFmtId="0" fontId="5" fillId="7" borderId="26" xfId="21" applyFont="1" applyFill="1" applyBorder="1" applyAlignment="1" applyProtection="1">
      <alignment horizontal="center" vertical="center" wrapText="1"/>
    </xf>
    <xf numFmtId="0" fontId="32" fillId="7" borderId="29" xfId="21" applyFont="1" applyFill="1" applyBorder="1" applyAlignment="1" applyProtection="1">
      <alignment horizontal="center" vertical="center" wrapText="1"/>
    </xf>
    <xf numFmtId="0" fontId="19" fillId="7" borderId="29" xfId="21" applyFont="1" applyFill="1" applyBorder="1" applyAlignment="1" applyProtection="1">
      <alignment horizontal="center" vertical="center" wrapText="1"/>
    </xf>
    <xf numFmtId="0" fontId="19" fillId="7" borderId="14" xfId="21" applyFont="1" applyFill="1" applyBorder="1" applyAlignment="1" applyProtection="1">
      <alignment horizontal="center" vertical="center" wrapText="1"/>
    </xf>
    <xf numFmtId="0" fontId="0" fillId="12" borderId="0" xfId="0" applyFill="1" applyAlignment="1">
      <alignment horizontal="left"/>
    </xf>
    <xf numFmtId="0" fontId="0" fillId="7" borderId="20" xfId="0" applyFill="1" applyBorder="1" applyAlignment="1">
      <alignment horizontal="center" vertical="center" wrapText="1"/>
    </xf>
    <xf numFmtId="0" fontId="0" fillId="7" borderId="19" xfId="0" applyFill="1" applyBorder="1" applyAlignment="1">
      <alignment horizontal="center" vertical="center" wrapText="1"/>
    </xf>
    <xf numFmtId="0" fontId="0" fillId="19" borderId="20" xfId="0" applyFill="1" applyBorder="1" applyAlignment="1">
      <alignment horizontal="center" vertical="center" wrapText="1"/>
    </xf>
    <xf numFmtId="0" fontId="0" fillId="0" borderId="23" xfId="0" applyBorder="1" applyAlignment="1" applyProtection="1">
      <alignment horizontal="center" vertical="center" wrapText="1"/>
      <protection locked="0"/>
    </xf>
    <xf numFmtId="0" fontId="14" fillId="5" borderId="34" xfId="0" applyFont="1" applyFill="1" applyBorder="1" applyAlignment="1">
      <alignment horizontal="center" vertical="center"/>
    </xf>
    <xf numFmtId="0" fontId="22" fillId="5" borderId="39" xfId="0" applyFont="1" applyFill="1" applyBorder="1" applyAlignment="1">
      <alignment horizontal="center" vertical="center" wrapText="1"/>
    </xf>
    <xf numFmtId="1" fontId="0" fillId="0" borderId="28" xfId="0" applyNumberFormat="1" applyBorder="1" applyAlignment="1" applyProtection="1">
      <alignment horizontal="center" vertical="center" wrapText="1"/>
      <protection locked="0"/>
    </xf>
    <xf numFmtId="0" fontId="25" fillId="7" borderId="13" xfId="0" applyFont="1" applyFill="1" applyBorder="1" applyAlignment="1">
      <alignment horizontal="center" vertical="center"/>
    </xf>
    <xf numFmtId="165" fontId="25" fillId="7" borderId="13" xfId="0" applyNumberFormat="1" applyFont="1" applyFill="1" applyBorder="1" applyAlignment="1">
      <alignment horizontal="center" vertical="center" wrapText="1"/>
    </xf>
    <xf numFmtId="0" fontId="0" fillId="20" borderId="2" xfId="0" applyFill="1" applyBorder="1"/>
    <xf numFmtId="0" fontId="0" fillId="0" borderId="67" xfId="0" applyBorder="1" applyAlignment="1" applyProtection="1">
      <alignment horizontal="center" vertical="center" wrapText="1"/>
      <protection locked="0"/>
    </xf>
    <xf numFmtId="0" fontId="0" fillId="20" borderId="2" xfId="0" applyFill="1" applyBorder="1" applyAlignment="1">
      <alignment vertical="center" wrapText="1"/>
    </xf>
    <xf numFmtId="0" fontId="43" fillId="12" borderId="0" xfId="0" applyFont="1" applyFill="1" applyAlignment="1">
      <alignment horizontal="center" vertical="center"/>
    </xf>
    <xf numFmtId="0" fontId="2" fillId="10" borderId="18" xfId="0" applyFont="1" applyFill="1" applyBorder="1" applyAlignment="1">
      <alignment horizontal="center" vertical="center" wrapText="1"/>
    </xf>
    <xf numFmtId="0" fontId="0" fillId="0" borderId="24" xfId="0" applyBorder="1" applyAlignment="1">
      <alignment horizontal="center" vertical="center"/>
    </xf>
    <xf numFmtId="0" fontId="2" fillId="10" borderId="13"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29" xfId="0" applyBorder="1" applyAlignment="1">
      <alignment horizontal="center" vertical="center" wrapText="1"/>
    </xf>
    <xf numFmtId="0" fontId="0" fillId="0" borderId="22" xfId="0" applyBorder="1" applyAlignment="1">
      <alignment horizontal="center" vertical="center" wrapText="1"/>
    </xf>
    <xf numFmtId="0" fontId="0" fillId="0" borderId="49" xfId="0" applyBorder="1" applyAlignment="1">
      <alignment horizontal="center" vertical="center" wrapText="1"/>
    </xf>
    <xf numFmtId="0" fontId="44" fillId="5" borderId="18" xfId="0" applyFont="1" applyFill="1" applyBorder="1" applyAlignment="1">
      <alignment horizontal="center" vertical="center" wrapText="1"/>
    </xf>
    <xf numFmtId="0" fontId="30" fillId="5" borderId="18" xfId="0" applyFont="1" applyFill="1" applyBorder="1" applyAlignment="1">
      <alignment horizontal="center"/>
    </xf>
    <xf numFmtId="0" fontId="0" fillId="0" borderId="56" xfId="0" applyBorder="1" applyAlignment="1">
      <alignment horizontal="center" vertical="center"/>
    </xf>
    <xf numFmtId="0" fontId="0" fillId="0" borderId="39" xfId="0" applyBorder="1" applyAlignment="1">
      <alignment horizontal="center" vertical="center" wrapText="1"/>
    </xf>
    <xf numFmtId="0" fontId="0" fillId="18" borderId="26" xfId="0" applyFill="1" applyBorder="1" applyAlignment="1">
      <alignment horizontal="center" vertical="center"/>
    </xf>
    <xf numFmtId="0" fontId="0" fillId="18" borderId="29" xfId="0" applyFill="1" applyBorder="1" applyAlignment="1">
      <alignment horizontal="center" vertical="center"/>
    </xf>
    <xf numFmtId="0" fontId="0" fillId="0" borderId="13" xfId="0" applyBorder="1" applyAlignment="1">
      <alignment horizontal="center" vertical="center" wrapText="1"/>
    </xf>
    <xf numFmtId="0" fontId="0" fillId="18" borderId="14" xfId="0" applyFill="1" applyBorder="1" applyAlignment="1">
      <alignment horizontal="center" vertical="center"/>
    </xf>
    <xf numFmtId="0" fontId="0" fillId="11" borderId="26" xfId="0" applyFill="1" applyBorder="1" applyAlignment="1">
      <alignment horizontal="center" vertical="center"/>
    </xf>
    <xf numFmtId="0" fontId="0" fillId="11" borderId="29" xfId="0" applyFill="1" applyBorder="1" applyAlignment="1">
      <alignment horizontal="center" vertical="center"/>
    </xf>
    <xf numFmtId="0" fontId="0" fillId="11" borderId="14" xfId="0" applyFill="1" applyBorder="1" applyAlignment="1">
      <alignment horizontal="center" vertical="center"/>
    </xf>
    <xf numFmtId="0" fontId="0" fillId="3" borderId="29" xfId="0" applyFill="1" applyBorder="1" applyAlignment="1">
      <alignment horizontal="center" vertical="center"/>
    </xf>
    <xf numFmtId="0" fontId="0" fillId="0" borderId="8" xfId="0" applyBorder="1" applyAlignment="1">
      <alignment horizontal="center" vertical="center"/>
    </xf>
    <xf numFmtId="0" fontId="0" fillId="0" borderId="53" xfId="0" applyBorder="1" applyAlignment="1">
      <alignment horizontal="center" vertical="center" wrapText="1"/>
    </xf>
    <xf numFmtId="0" fontId="0" fillId="11" borderId="9" xfId="0" applyFill="1" applyBorder="1" applyAlignment="1">
      <alignment horizontal="center" vertical="center"/>
    </xf>
    <xf numFmtId="0" fontId="0" fillId="3" borderId="14" xfId="0" applyFill="1" applyBorder="1" applyAlignment="1">
      <alignment horizontal="center" vertical="center"/>
    </xf>
    <xf numFmtId="0" fontId="2" fillId="2" borderId="78"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51" xfId="0" applyFont="1" applyFill="1" applyBorder="1" applyAlignment="1">
      <alignment horizontal="center" vertical="center" wrapText="1"/>
    </xf>
    <xf numFmtId="0" fontId="2" fillId="2" borderId="52" xfId="0" applyFont="1" applyFill="1" applyBorder="1" applyAlignment="1">
      <alignment horizontal="center" vertical="center"/>
    </xf>
    <xf numFmtId="0" fontId="0" fillId="0" borderId="53" xfId="0" applyBorder="1" applyAlignment="1">
      <alignment horizontal="center" vertical="center"/>
    </xf>
    <xf numFmtId="0" fontId="0" fillId="0" borderId="39" xfId="0" applyBorder="1" applyAlignment="1">
      <alignment horizontal="center" vertical="center"/>
    </xf>
    <xf numFmtId="0" fontId="0" fillId="4" borderId="20" xfId="0" applyFill="1" applyBorder="1" applyAlignment="1" applyProtection="1">
      <alignment horizontal="center" vertical="center"/>
      <protection locked="0"/>
    </xf>
    <xf numFmtId="0" fontId="0" fillId="4" borderId="28" xfId="0" applyFill="1" applyBorder="1" applyAlignment="1" applyProtection="1">
      <alignment horizontal="center" vertical="center"/>
      <protection locked="0"/>
    </xf>
    <xf numFmtId="0" fontId="22" fillId="23" borderId="9" xfId="0" applyFont="1" applyFill="1" applyBorder="1" applyAlignment="1">
      <alignment horizontal="center" vertical="center"/>
    </xf>
    <xf numFmtId="0" fontId="22" fillId="23" borderId="26" xfId="0" applyFont="1" applyFill="1" applyBorder="1" applyAlignment="1">
      <alignment horizontal="center"/>
    </xf>
    <xf numFmtId="0" fontId="22" fillId="23" borderId="14" xfId="0" applyFont="1" applyFill="1" applyBorder="1" applyAlignment="1">
      <alignment horizontal="center"/>
    </xf>
    <xf numFmtId="0" fontId="12" fillId="23" borderId="21" xfId="0" applyFont="1" applyFill="1" applyBorder="1" applyAlignment="1">
      <alignment horizontal="center" vertical="center" wrapText="1"/>
    </xf>
    <xf numFmtId="0" fontId="12" fillId="23" borderId="45" xfId="0" applyFont="1" applyFill="1" applyBorder="1" applyAlignment="1">
      <alignment horizontal="center" vertical="center" wrapText="1"/>
    </xf>
    <xf numFmtId="0" fontId="12" fillId="23" borderId="47" xfId="0" applyFont="1" applyFill="1" applyBorder="1" applyAlignment="1">
      <alignment horizontal="center" vertical="center" wrapText="1"/>
    </xf>
    <xf numFmtId="0" fontId="12" fillId="23" borderId="59" xfId="0" applyFont="1" applyFill="1" applyBorder="1" applyAlignment="1">
      <alignment horizontal="center" vertical="center" wrapText="1"/>
    </xf>
    <xf numFmtId="0" fontId="12" fillId="23" borderId="1" xfId="0" applyFont="1" applyFill="1" applyBorder="1" applyAlignment="1">
      <alignment horizontal="center" vertical="center" wrapText="1"/>
    </xf>
    <xf numFmtId="0" fontId="14" fillId="23" borderId="10" xfId="0" applyFont="1" applyFill="1" applyBorder="1" applyAlignment="1">
      <alignment horizontal="center" vertical="center" wrapText="1"/>
    </xf>
    <xf numFmtId="0" fontId="14" fillId="23" borderId="7" xfId="0" applyFont="1" applyFill="1" applyBorder="1" applyAlignment="1">
      <alignment horizontal="center" vertical="center" wrapText="1"/>
    </xf>
    <xf numFmtId="0" fontId="12" fillId="23" borderId="5" xfId="0" applyFont="1" applyFill="1" applyBorder="1" applyAlignment="1">
      <alignment horizontal="center" vertical="center" wrapText="1"/>
    </xf>
    <xf numFmtId="0" fontId="14" fillId="23" borderId="4" xfId="0" applyFont="1" applyFill="1" applyBorder="1" applyAlignment="1">
      <alignment horizontal="center" vertical="center" wrapText="1"/>
    </xf>
    <xf numFmtId="0" fontId="14" fillId="23" borderId="11" xfId="0" applyFont="1" applyFill="1" applyBorder="1" applyAlignment="1">
      <alignment horizontal="center" vertical="center" wrapText="1"/>
    </xf>
    <xf numFmtId="0" fontId="23" fillId="23" borderId="39" xfId="0" applyFont="1" applyFill="1" applyBorder="1" applyAlignment="1">
      <alignment horizontal="center" vertical="center" wrapText="1"/>
    </xf>
    <xf numFmtId="0" fontId="23" fillId="23" borderId="18" xfId="0" applyFont="1" applyFill="1" applyBorder="1" applyAlignment="1">
      <alignment horizontal="center" vertical="center" wrapText="1"/>
    </xf>
    <xf numFmtId="0" fontId="23" fillId="23" borderId="13" xfId="0" applyFont="1" applyFill="1" applyBorder="1" applyAlignment="1">
      <alignment horizontal="center" vertical="center" wrapText="1"/>
    </xf>
    <xf numFmtId="0" fontId="2" fillId="24" borderId="18" xfId="0" applyFont="1" applyFill="1" applyBorder="1" applyAlignment="1">
      <alignment horizontal="center" vertical="center" wrapText="1"/>
    </xf>
    <xf numFmtId="165" fontId="11" fillId="25" borderId="29" xfId="0" applyNumberFormat="1" applyFont="1" applyFill="1" applyBorder="1" applyAlignment="1">
      <alignment horizontal="center" vertical="center" wrapText="1"/>
    </xf>
    <xf numFmtId="165" fontId="11" fillId="25" borderId="14" xfId="0" applyNumberFormat="1" applyFont="1" applyFill="1" applyBorder="1" applyAlignment="1">
      <alignment horizontal="center" vertical="center" wrapText="1"/>
    </xf>
    <xf numFmtId="165" fontId="0" fillId="25" borderId="72" xfId="0" applyNumberFormat="1" applyFill="1" applyBorder="1" applyAlignment="1">
      <alignment horizontal="center" vertical="center" wrapText="1"/>
    </xf>
    <xf numFmtId="165" fontId="0" fillId="25" borderId="71" xfId="0" applyNumberFormat="1" applyFill="1" applyBorder="1" applyAlignment="1">
      <alignment horizontal="center" vertical="center" wrapText="1"/>
    </xf>
    <xf numFmtId="0" fontId="14" fillId="23" borderId="25" xfId="0" applyFont="1" applyFill="1" applyBorder="1" applyAlignment="1">
      <alignment horizontal="center" vertical="center" wrapText="1"/>
    </xf>
    <xf numFmtId="0" fontId="14" fillId="23" borderId="28" xfId="0" applyFont="1" applyFill="1" applyBorder="1" applyAlignment="1">
      <alignment horizontal="center" vertical="center" wrapText="1"/>
    </xf>
    <xf numFmtId="165" fontId="0" fillId="25" borderId="20" xfId="0" applyNumberFormat="1" applyFill="1" applyBorder="1" applyAlignment="1">
      <alignment horizontal="center" vertical="center" wrapText="1"/>
    </xf>
    <xf numFmtId="165" fontId="0" fillId="25" borderId="1" xfId="0" applyNumberFormat="1" applyFill="1" applyBorder="1" applyAlignment="1">
      <alignment horizontal="center" vertical="center" wrapText="1"/>
    </xf>
    <xf numFmtId="1" fontId="2" fillId="25" borderId="11" xfId="0" applyNumberFormat="1" applyFont="1" applyFill="1" applyBorder="1" applyAlignment="1">
      <alignment horizontal="center" vertical="center" wrapText="1"/>
    </xf>
    <xf numFmtId="0" fontId="46" fillId="4" borderId="38" xfId="0" applyFont="1" applyFill="1" applyBorder="1" applyAlignment="1" applyProtection="1">
      <alignment horizontal="left" vertical="top" wrapText="1"/>
      <protection locked="0"/>
    </xf>
    <xf numFmtId="167" fontId="5" fillId="0" borderId="43" xfId="0" applyNumberFormat="1" applyFont="1" applyBorder="1" applyAlignment="1" applyProtection="1">
      <alignment horizontal="center" vertical="center"/>
      <protection locked="0"/>
    </xf>
    <xf numFmtId="167" fontId="5" fillId="0" borderId="36" xfId="0" applyNumberFormat="1" applyFont="1" applyBorder="1" applyAlignment="1" applyProtection="1">
      <alignment horizontal="center" vertical="center"/>
      <protection locked="0"/>
    </xf>
    <xf numFmtId="0" fontId="14" fillId="23" borderId="15" xfId="0" applyFont="1" applyFill="1" applyBorder="1" applyAlignment="1">
      <alignment horizontal="center" vertical="center" wrapText="1"/>
    </xf>
    <xf numFmtId="165" fontId="0" fillId="25" borderId="29" xfId="0" applyNumberFormat="1" applyFill="1" applyBorder="1" applyAlignment="1">
      <alignment horizontal="center" vertical="center" wrapText="1"/>
    </xf>
    <xf numFmtId="165" fontId="0" fillId="25" borderId="19" xfId="0" applyNumberFormat="1" applyFill="1" applyBorder="1" applyAlignment="1">
      <alignment horizontal="center" vertical="center" wrapText="1"/>
    </xf>
    <xf numFmtId="165" fontId="0" fillId="25" borderId="11" xfId="0" applyNumberFormat="1" applyFill="1" applyBorder="1" applyAlignment="1">
      <alignment horizontal="center" vertical="center" wrapText="1"/>
    </xf>
    <xf numFmtId="165" fontId="0" fillId="25" borderId="14" xfId="0" applyNumberFormat="1" applyFill="1" applyBorder="1" applyAlignment="1">
      <alignment horizontal="center" vertical="center" wrapText="1"/>
    </xf>
    <xf numFmtId="165" fontId="0" fillId="25" borderId="28" xfId="0" applyNumberFormat="1" applyFill="1" applyBorder="1" applyAlignment="1">
      <alignment horizontal="center" vertical="center" wrapText="1"/>
    </xf>
    <xf numFmtId="165" fontId="0" fillId="25" borderId="25" xfId="0" applyNumberFormat="1" applyFill="1" applyBorder="1" applyAlignment="1">
      <alignment horizontal="center" vertical="center" wrapText="1"/>
    </xf>
    <xf numFmtId="165" fontId="0" fillId="25" borderId="26" xfId="0" applyNumberFormat="1" applyFill="1" applyBorder="1" applyAlignment="1">
      <alignment horizontal="center" vertical="center" wrapText="1"/>
    </xf>
    <xf numFmtId="0" fontId="0" fillId="0" borderId="54" xfId="0" applyBorder="1"/>
    <xf numFmtId="165" fontId="0" fillId="2" borderId="28" xfId="0" applyNumberFormat="1" applyFill="1" applyBorder="1" applyAlignment="1">
      <alignment horizontal="center" vertical="center" wrapText="1"/>
    </xf>
    <xf numFmtId="165" fontId="0" fillId="2" borderId="18" xfId="0" applyNumberFormat="1" applyFill="1" applyBorder="1" applyAlignment="1">
      <alignment horizontal="center" vertical="center" wrapText="1"/>
    </xf>
    <xf numFmtId="165" fontId="0" fillId="2" borderId="29" xfId="0" applyNumberFormat="1" applyFill="1" applyBorder="1" applyAlignment="1">
      <alignment horizontal="center" vertical="center" wrapText="1"/>
    </xf>
    <xf numFmtId="2" fontId="0" fillId="25" borderId="18" xfId="0" applyNumberFormat="1" applyFill="1" applyBorder="1" applyAlignment="1">
      <alignment horizontal="center" vertical="center" wrapText="1"/>
    </xf>
    <xf numFmtId="2" fontId="0" fillId="0" borderId="25" xfId="0" applyNumberFormat="1" applyBorder="1" applyAlignment="1" applyProtection="1">
      <alignment horizontal="center" vertical="center" wrapText="1"/>
      <protection locked="0"/>
    </xf>
    <xf numFmtId="2" fontId="0" fillId="0" borderId="39" xfId="0" applyNumberFormat="1" applyBorder="1" applyAlignment="1" applyProtection="1">
      <alignment horizontal="center" vertical="center" wrapText="1"/>
      <protection locked="0"/>
    </xf>
    <xf numFmtId="2" fontId="0" fillId="0" borderId="62" xfId="0" applyNumberFormat="1" applyBorder="1" applyAlignment="1" applyProtection="1">
      <alignment horizontal="center" vertical="center" wrapText="1"/>
      <protection locked="0"/>
    </xf>
    <xf numFmtId="2" fontId="0" fillId="0" borderId="20" xfId="0" applyNumberFormat="1" applyBorder="1" applyAlignment="1" applyProtection="1">
      <alignment horizontal="center" vertical="center" wrapText="1"/>
      <protection locked="0"/>
    </xf>
    <xf numFmtId="2" fontId="0" fillId="0" borderId="18" xfId="0" applyNumberFormat="1" applyBorder="1" applyAlignment="1" applyProtection="1">
      <alignment horizontal="center" vertical="center" wrapText="1"/>
      <protection locked="0"/>
    </xf>
    <xf numFmtId="2" fontId="0" fillId="0" borderId="68" xfId="0" applyNumberFormat="1" applyBorder="1" applyAlignment="1" applyProtection="1">
      <alignment horizontal="center" vertical="center" wrapText="1"/>
      <protection locked="0"/>
    </xf>
    <xf numFmtId="2" fontId="0" fillId="0" borderId="76" xfId="0" applyNumberFormat="1" applyBorder="1" applyAlignment="1" applyProtection="1">
      <alignment horizontal="center" vertical="center" wrapText="1"/>
      <protection locked="0"/>
    </xf>
    <xf numFmtId="2" fontId="0" fillId="0" borderId="13" xfId="0" applyNumberFormat="1" applyBorder="1" applyAlignment="1" applyProtection="1">
      <alignment horizontal="center" vertical="center" wrapText="1"/>
      <protection locked="0"/>
    </xf>
    <xf numFmtId="2" fontId="0" fillId="0" borderId="37" xfId="0" applyNumberFormat="1" applyBorder="1" applyAlignment="1" applyProtection="1">
      <alignment horizontal="center" vertical="center" wrapText="1"/>
      <protection locked="0"/>
    </xf>
    <xf numFmtId="2" fontId="0" fillId="25" borderId="78" xfId="0" applyNumberFormat="1" applyFill="1" applyBorder="1" applyAlignment="1">
      <alignment horizontal="center" vertical="center" wrapText="1"/>
    </xf>
    <xf numFmtId="2" fontId="0" fillId="25" borderId="51" xfId="0" applyNumberFormat="1" applyFill="1" applyBorder="1" applyAlignment="1">
      <alignment horizontal="center" vertical="center" wrapText="1"/>
    </xf>
    <xf numFmtId="2" fontId="0" fillId="25" borderId="52" xfId="0" applyNumberFormat="1" applyFill="1" applyBorder="1" applyAlignment="1">
      <alignment horizontal="center" vertical="center" wrapText="1"/>
    </xf>
    <xf numFmtId="2" fontId="0" fillId="25" borderId="39" xfId="0" applyNumberFormat="1" applyFill="1" applyBorder="1" applyAlignment="1">
      <alignment horizontal="center" vertical="center" wrapText="1"/>
    </xf>
    <xf numFmtId="2" fontId="0" fillId="25" borderId="13" xfId="0" applyNumberFormat="1" applyFill="1" applyBorder="1" applyAlignment="1">
      <alignment horizontal="center" vertical="center" wrapText="1"/>
    </xf>
    <xf numFmtId="2" fontId="0" fillId="25" borderId="68" xfId="0" applyNumberFormat="1" applyFill="1" applyBorder="1" applyAlignment="1">
      <alignment horizontal="center" vertical="center" wrapText="1"/>
    </xf>
    <xf numFmtId="2" fontId="4" fillId="7" borderId="21" xfId="0" applyNumberFormat="1" applyFont="1" applyFill="1" applyBorder="1" applyAlignment="1">
      <alignment horizontal="center" vertical="center"/>
    </xf>
    <xf numFmtId="2" fontId="0" fillId="25" borderId="7" xfId="0" applyNumberFormat="1" applyFill="1" applyBorder="1" applyAlignment="1">
      <alignment horizontal="center" vertical="center" wrapText="1"/>
    </xf>
    <xf numFmtId="2" fontId="0" fillId="25" borderId="73" xfId="0" applyNumberFormat="1" applyFill="1" applyBorder="1" applyAlignment="1">
      <alignment horizontal="center" vertical="center" wrapText="1"/>
    </xf>
    <xf numFmtId="2" fontId="4" fillId="7" borderId="22" xfId="0" applyNumberFormat="1" applyFont="1" applyFill="1" applyBorder="1" applyAlignment="1">
      <alignment horizontal="center" vertical="center"/>
    </xf>
    <xf numFmtId="2" fontId="4" fillId="7" borderId="49" xfId="0" applyNumberFormat="1" applyFont="1" applyFill="1" applyBorder="1" applyAlignment="1">
      <alignment horizontal="center" vertical="center"/>
    </xf>
    <xf numFmtId="2" fontId="0" fillId="25" borderId="10" xfId="0" applyNumberFormat="1" applyFill="1" applyBorder="1" applyAlignment="1">
      <alignment horizontal="center" vertical="center" wrapText="1"/>
    </xf>
    <xf numFmtId="2" fontId="0" fillId="0" borderId="24" xfId="0" applyNumberFormat="1" applyBorder="1" applyAlignment="1" applyProtection="1">
      <alignment horizontal="center" vertical="center" wrapText="1"/>
      <protection locked="0"/>
    </xf>
    <xf numFmtId="2" fontId="0" fillId="7" borderId="8" xfId="0" applyNumberFormat="1" applyFill="1" applyBorder="1" applyAlignment="1">
      <alignment horizontal="center" vertical="center" wrapText="1"/>
    </xf>
    <xf numFmtId="2" fontId="0" fillId="7" borderId="53" xfId="0" applyNumberFormat="1" applyFill="1" applyBorder="1" applyAlignment="1">
      <alignment horizontal="center" vertical="center" wrapText="1"/>
    </xf>
    <xf numFmtId="2" fontId="0" fillId="25" borderId="72" xfId="0" applyNumberFormat="1" applyFill="1" applyBorder="1" applyAlignment="1">
      <alignment horizontal="center" vertical="center" wrapText="1"/>
    </xf>
    <xf numFmtId="2" fontId="0" fillId="25" borderId="70" xfId="0" applyNumberFormat="1" applyFill="1" applyBorder="1" applyAlignment="1">
      <alignment horizontal="center" vertical="center" wrapText="1"/>
    </xf>
    <xf numFmtId="2" fontId="0" fillId="25" borderId="71" xfId="0" applyNumberFormat="1" applyFill="1" applyBorder="1" applyAlignment="1">
      <alignment horizontal="center" vertical="center" wrapText="1"/>
    </xf>
    <xf numFmtId="165" fontId="11" fillId="7" borderId="29" xfId="0" applyNumberFormat="1" applyFont="1" applyFill="1" applyBorder="1" applyAlignment="1">
      <alignment horizontal="center" vertical="center" wrapText="1"/>
    </xf>
    <xf numFmtId="165" fontId="11" fillId="7" borderId="14" xfId="0" applyNumberFormat="1"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48" xfId="0" applyBorder="1" applyAlignment="1">
      <alignment horizontal="center" vertical="center"/>
    </xf>
    <xf numFmtId="0" fontId="0" fillId="0" borderId="23" xfId="0" applyBorder="1" applyAlignment="1">
      <alignment horizontal="center" vertical="center"/>
    </xf>
    <xf numFmtId="0" fontId="0" fillId="0" borderId="55" xfId="0" applyBorder="1" applyAlignment="1">
      <alignment horizontal="center" vertical="center"/>
    </xf>
    <xf numFmtId="0" fontId="0" fillId="0" borderId="26" xfId="0" applyBorder="1" applyAlignment="1">
      <alignment horizontal="center" vertical="center" wrapText="1"/>
    </xf>
    <xf numFmtId="0" fontId="14" fillId="5" borderId="27" xfId="0" applyFont="1" applyFill="1" applyBorder="1" applyAlignment="1">
      <alignment horizontal="center" vertical="center" wrapText="1"/>
    </xf>
    <xf numFmtId="0" fontId="4" fillId="19" borderId="46" xfId="0" applyFont="1" applyFill="1" applyBorder="1" applyAlignment="1">
      <alignment horizontal="center" vertical="center" wrapText="1"/>
    </xf>
    <xf numFmtId="0" fontId="0" fillId="12" borderId="18"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12" xfId="0" applyFill="1" applyBorder="1" applyAlignment="1">
      <alignment horizontal="center" vertical="center" wrapText="1"/>
    </xf>
    <xf numFmtId="0" fontId="14" fillId="12" borderId="0" xfId="0" applyFont="1" applyFill="1" applyAlignment="1">
      <alignment horizontal="center" vertical="center" wrapText="1"/>
    </xf>
    <xf numFmtId="0" fontId="0" fillId="12" borderId="54" xfId="0" applyFill="1" applyBorder="1" applyAlignment="1">
      <alignment horizontal="center" vertical="center" wrapText="1"/>
    </xf>
    <xf numFmtId="0" fontId="0" fillId="12" borderId="53" xfId="0" applyFill="1" applyBorder="1" applyAlignment="1">
      <alignment horizontal="center" vertical="center" wrapText="1"/>
    </xf>
    <xf numFmtId="0" fontId="0" fillId="2" borderId="44" xfId="0" applyFill="1" applyBorder="1" applyAlignment="1">
      <alignment horizontal="center" vertical="center" wrapText="1"/>
    </xf>
    <xf numFmtId="0" fontId="14" fillId="5" borderId="77" xfId="0" applyFont="1" applyFill="1" applyBorder="1" applyAlignment="1">
      <alignment horizontal="center" vertical="center" wrapText="1"/>
    </xf>
    <xf numFmtId="0" fontId="14" fillId="5" borderId="76" xfId="0" applyFont="1" applyFill="1" applyBorder="1" applyAlignment="1">
      <alignment horizontal="center" vertical="center" wrapText="1"/>
    </xf>
    <xf numFmtId="0" fontId="14" fillId="5" borderId="57" xfId="0" applyFont="1" applyFill="1" applyBorder="1" applyAlignment="1">
      <alignment horizontal="center" vertical="center" wrapText="1"/>
    </xf>
    <xf numFmtId="0" fontId="14" fillId="5" borderId="69"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4" fillId="12" borderId="24" xfId="0" applyFont="1" applyFill="1" applyBorder="1" applyAlignment="1">
      <alignment horizontal="center" vertical="center" wrapText="1"/>
    </xf>
    <xf numFmtId="164" fontId="0" fillId="25" borderId="18" xfId="0" applyNumberFormat="1" applyFill="1" applyBorder="1" applyAlignment="1">
      <alignment horizontal="center" vertical="center" wrapText="1"/>
    </xf>
    <xf numFmtId="0" fontId="14" fillId="5" borderId="25"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73" xfId="0" applyFont="1" applyFill="1" applyBorder="1" applyAlignment="1">
      <alignment horizontal="center" vertical="center" wrapText="1"/>
    </xf>
    <xf numFmtId="0" fontId="14" fillId="5" borderId="66" xfId="0" applyFont="1" applyFill="1" applyBorder="1" applyAlignment="1">
      <alignment horizontal="center" vertical="center" wrapText="1"/>
    </xf>
    <xf numFmtId="0" fontId="0" fillId="2" borderId="25" xfId="0" applyFill="1" applyBorder="1" applyAlignment="1">
      <alignment horizontal="center" vertical="center" wrapText="1"/>
    </xf>
    <xf numFmtId="0" fontId="0" fillId="12" borderId="39" xfId="0" applyFill="1" applyBorder="1" applyAlignment="1">
      <alignment horizontal="center" vertical="center" wrapText="1"/>
    </xf>
    <xf numFmtId="0" fontId="0" fillId="2" borderId="26" xfId="0" applyFill="1" applyBorder="1" applyAlignment="1">
      <alignment horizontal="center" vertical="center" wrapText="1"/>
    </xf>
    <xf numFmtId="0" fontId="0" fillId="12" borderId="13" xfId="0"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19" xfId="0" applyFont="1" applyFill="1" applyBorder="1" applyAlignment="1">
      <alignment horizontal="center" vertical="center" wrapText="1"/>
    </xf>
    <xf numFmtId="2" fontId="0" fillId="12" borderId="18" xfId="0" applyNumberFormat="1" applyFill="1" applyBorder="1" applyAlignment="1">
      <alignment horizontal="center" vertical="center" wrapText="1"/>
    </xf>
    <xf numFmtId="0" fontId="14" fillId="12" borderId="38" xfId="0" applyFont="1" applyFill="1" applyBorder="1" applyAlignment="1">
      <alignment horizontal="center" vertical="center" wrapText="1"/>
    </xf>
    <xf numFmtId="0" fontId="0" fillId="12" borderId="38" xfId="0" applyFill="1" applyBorder="1" applyAlignment="1">
      <alignment horizontal="center" vertical="center" wrapText="1"/>
    </xf>
    <xf numFmtId="0" fontId="14" fillId="5" borderId="20" xfId="0" applyFont="1" applyFill="1" applyBorder="1" applyAlignment="1">
      <alignment horizontal="center" vertical="center" wrapText="1"/>
    </xf>
    <xf numFmtId="0" fontId="24" fillId="7" borderId="26" xfId="21" applyFont="1" applyFill="1" applyBorder="1" applyAlignment="1">
      <alignment horizontal="center" vertical="center" wrapText="1"/>
    </xf>
    <xf numFmtId="0" fontId="25" fillId="7" borderId="54" xfId="0" applyFont="1" applyFill="1" applyBorder="1" applyAlignment="1">
      <alignment horizontal="center" vertical="center"/>
    </xf>
    <xf numFmtId="165" fontId="25" fillId="7" borderId="54" xfId="0" applyNumberFormat="1" applyFont="1" applyFill="1" applyBorder="1" applyAlignment="1">
      <alignment horizontal="center" vertical="center" wrapText="1"/>
    </xf>
    <xf numFmtId="165" fontId="25" fillId="7" borderId="16" xfId="0" applyNumberFormat="1" applyFont="1" applyFill="1" applyBorder="1" applyAlignment="1">
      <alignment horizontal="center" wrapText="1"/>
    </xf>
    <xf numFmtId="0" fontId="0" fillId="0" borderId="49" xfId="0" applyBorder="1" applyAlignment="1">
      <alignment horizontal="left" vertical="center"/>
    </xf>
    <xf numFmtId="165" fontId="5" fillId="0" borderId="63" xfId="0" applyNumberFormat="1" applyFont="1" applyBorder="1" applyAlignment="1">
      <alignment vertical="center"/>
    </xf>
    <xf numFmtId="165" fontId="5" fillId="0" borderId="41" xfId="0" applyNumberFormat="1" applyFont="1" applyBorder="1" applyAlignment="1">
      <alignment vertical="center"/>
    </xf>
    <xf numFmtId="165" fontId="5" fillId="0" borderId="42" xfId="0" applyNumberFormat="1" applyFont="1" applyBorder="1" applyAlignment="1">
      <alignment vertical="center"/>
    </xf>
    <xf numFmtId="0" fontId="9" fillId="13" borderId="33" xfId="0" applyFont="1" applyFill="1" applyBorder="1" applyAlignment="1">
      <alignment vertical="center" wrapText="1"/>
    </xf>
    <xf numFmtId="0" fontId="28" fillId="6" borderId="53" xfId="0" applyFont="1" applyFill="1" applyBorder="1" applyAlignment="1">
      <alignment vertical="center"/>
    </xf>
    <xf numFmtId="0" fontId="28" fillId="6" borderId="44" xfId="0" applyFont="1" applyFill="1" applyBorder="1" applyAlignment="1">
      <alignment vertical="center"/>
    </xf>
    <xf numFmtId="0" fontId="28" fillId="6" borderId="9" xfId="0" applyFont="1" applyFill="1" applyBorder="1" applyAlignment="1">
      <alignment vertical="center"/>
    </xf>
    <xf numFmtId="0" fontId="0" fillId="0" borderId="24" xfId="0" applyBorder="1" applyAlignment="1">
      <alignment horizontal="center" vertical="center" wrapText="1"/>
    </xf>
    <xf numFmtId="0" fontId="0" fillId="28" borderId="45" xfId="0" applyFill="1" applyBorder="1" applyAlignment="1">
      <alignment horizontal="center"/>
    </xf>
    <xf numFmtId="0" fontId="0" fillId="28" borderId="38" xfId="0" applyFill="1" applyBorder="1" applyAlignment="1">
      <alignment horizontal="center"/>
    </xf>
    <xf numFmtId="0" fontId="0" fillId="23" borderId="45" xfId="0" applyFill="1" applyBorder="1" applyAlignment="1">
      <alignment horizontal="center"/>
    </xf>
    <xf numFmtId="0" fontId="0" fillId="23" borderId="38" xfId="0" applyFill="1" applyBorder="1" applyAlignment="1">
      <alignment horizontal="center"/>
    </xf>
    <xf numFmtId="165" fontId="0" fillId="25" borderId="34" xfId="0" applyNumberForma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60" xfId="0" applyFont="1" applyFill="1" applyBorder="1" applyAlignment="1">
      <alignment horizontal="center" vertical="center" wrapText="1"/>
    </xf>
    <xf numFmtId="0" fontId="24" fillId="32" borderId="28" xfId="0" applyFont="1" applyFill="1" applyBorder="1" applyAlignment="1">
      <alignment horizontal="center" vertical="center" wrapText="1"/>
    </xf>
    <xf numFmtId="0" fontId="24" fillId="32" borderId="11" xfId="0" applyFont="1" applyFill="1" applyBorder="1" applyAlignment="1">
      <alignment horizontal="center" vertical="center" wrapText="1"/>
    </xf>
    <xf numFmtId="167" fontId="5" fillId="0" borderId="39" xfId="0" applyNumberFormat="1" applyFont="1" applyBorder="1" applyAlignment="1" applyProtection="1">
      <alignment horizontal="center" vertical="center"/>
      <protection locked="0"/>
    </xf>
    <xf numFmtId="167" fontId="5" fillId="0" borderId="26" xfId="0" applyNumberFormat="1" applyFont="1" applyBorder="1" applyAlignment="1" applyProtection="1">
      <alignment horizontal="center" vertical="center"/>
      <protection locked="0"/>
    </xf>
    <xf numFmtId="167" fontId="0" fillId="0" borderId="24" xfId="0" applyNumberFormat="1" applyBorder="1" applyAlignment="1" applyProtection="1">
      <alignment horizontal="center" vertical="center"/>
      <protection locked="0"/>
    </xf>
    <xf numFmtId="167" fontId="0" fillId="0" borderId="19" xfId="0" applyNumberFormat="1" applyBorder="1" applyAlignment="1" applyProtection="1">
      <alignment horizontal="center" vertical="center"/>
      <protection locked="0"/>
    </xf>
    <xf numFmtId="0" fontId="0" fillId="7" borderId="44" xfId="0" applyFill="1" applyBorder="1" applyAlignment="1">
      <alignment horizontal="center" vertical="center" wrapText="1"/>
    </xf>
    <xf numFmtId="0" fontId="0" fillId="7" borderId="7" xfId="0" applyFill="1" applyBorder="1" applyAlignment="1" applyProtection="1">
      <alignment horizontal="center" vertical="center" wrapText="1"/>
      <protection locked="0"/>
    </xf>
    <xf numFmtId="2" fontId="4" fillId="7" borderId="7" xfId="0" applyNumberFormat="1" applyFont="1" applyFill="1" applyBorder="1" applyAlignment="1">
      <alignment horizontal="center" vertical="center"/>
    </xf>
    <xf numFmtId="165" fontId="0" fillId="25" borderId="8" xfId="0" applyNumberFormat="1" applyFill="1" applyBorder="1" applyAlignment="1">
      <alignment horizontal="center" vertical="center" wrapText="1"/>
    </xf>
    <xf numFmtId="0" fontId="0" fillId="0" borderId="40" xfId="0" applyBorder="1" applyAlignment="1" applyProtection="1">
      <alignment horizontal="center" vertical="center" wrapText="1"/>
      <protection locked="0"/>
    </xf>
    <xf numFmtId="0" fontId="24" fillId="7" borderId="29" xfId="21" applyFont="1" applyFill="1" applyBorder="1" applyAlignment="1">
      <alignment horizontal="center" vertical="center" wrapText="1"/>
    </xf>
    <xf numFmtId="2" fontId="0" fillId="25" borderId="24" xfId="0" applyNumberFormat="1" applyFill="1" applyBorder="1" applyAlignment="1">
      <alignment horizontal="center" vertical="center" wrapText="1"/>
    </xf>
    <xf numFmtId="164" fontId="0" fillId="25" borderId="24" xfId="0" applyNumberFormat="1" applyFill="1" applyBorder="1" applyAlignment="1">
      <alignment horizontal="center" vertical="center" wrapText="1"/>
    </xf>
    <xf numFmtId="2" fontId="0" fillId="25" borderId="54" xfId="0" applyNumberFormat="1" applyFill="1" applyBorder="1" applyAlignment="1">
      <alignment horizontal="center" vertical="center" wrapText="1"/>
    </xf>
    <xf numFmtId="164" fontId="0" fillId="25" borderId="54" xfId="0" applyNumberFormat="1" applyFill="1" applyBorder="1" applyAlignment="1">
      <alignment horizontal="center" vertical="center" wrapText="1"/>
    </xf>
    <xf numFmtId="2" fontId="0" fillId="25" borderId="53" xfId="0" applyNumberFormat="1" applyFill="1" applyBorder="1" applyAlignment="1">
      <alignment horizontal="center" vertical="center" wrapText="1"/>
    </xf>
    <xf numFmtId="165" fontId="0" fillId="25" borderId="9" xfId="0" applyNumberFormat="1" applyFill="1" applyBorder="1" applyAlignment="1">
      <alignment horizontal="center" vertical="center" wrapText="1"/>
    </xf>
    <xf numFmtId="0" fontId="0" fillId="12" borderId="0" xfId="0" applyFill="1" applyAlignment="1">
      <alignment vertical="center" wrapText="1"/>
    </xf>
    <xf numFmtId="0" fontId="0" fillId="7" borderId="25" xfId="0" applyFill="1" applyBorder="1" applyAlignment="1">
      <alignment horizontal="center" vertical="center" wrapText="1"/>
    </xf>
    <xf numFmtId="0" fontId="0" fillId="7" borderId="26" xfId="0" applyFill="1" applyBorder="1" applyAlignment="1">
      <alignment horizontal="center" vertical="center" wrapText="1"/>
    </xf>
    <xf numFmtId="0" fontId="0" fillId="19" borderId="25" xfId="0" applyFill="1" applyBorder="1" applyAlignment="1">
      <alignment horizontal="center" vertical="center" wrapText="1"/>
    </xf>
    <xf numFmtId="0" fontId="0" fillId="7" borderId="48" xfId="0" applyFill="1" applyBorder="1" applyAlignment="1">
      <alignment horizontal="center" vertical="center" wrapText="1"/>
    </xf>
    <xf numFmtId="2" fontId="4" fillId="7" borderId="48" xfId="0" applyNumberFormat="1" applyFont="1" applyFill="1" applyBorder="1" applyAlignment="1">
      <alignment horizontal="center" vertical="center"/>
    </xf>
    <xf numFmtId="0" fontId="0" fillId="7" borderId="77" xfId="0" applyFill="1" applyBorder="1" applyAlignment="1">
      <alignment horizontal="center" vertical="center" wrapText="1"/>
    </xf>
    <xf numFmtId="2" fontId="4" fillId="7" borderId="10" xfId="0" applyNumberFormat="1" applyFont="1" applyFill="1" applyBorder="1" applyAlignment="1">
      <alignment horizontal="center" vertical="center"/>
    </xf>
    <xf numFmtId="165" fontId="0" fillId="25" borderId="76" xfId="0" applyNumberFormat="1" applyFill="1" applyBorder="1" applyAlignment="1">
      <alignment horizontal="center" vertical="center" wrapText="1"/>
    </xf>
    <xf numFmtId="2" fontId="4" fillId="7" borderId="5" xfId="0" applyNumberFormat="1" applyFont="1" applyFill="1" applyBorder="1" applyAlignment="1">
      <alignment horizontal="center" vertical="center"/>
    </xf>
    <xf numFmtId="2" fontId="4" fillId="7" borderId="34" xfId="0" applyNumberFormat="1" applyFont="1" applyFill="1" applyBorder="1" applyAlignment="1">
      <alignment horizontal="center" vertical="center"/>
    </xf>
    <xf numFmtId="0" fontId="14" fillId="5" borderId="33" xfId="0" applyFont="1" applyFill="1" applyBorder="1" applyAlignment="1">
      <alignment horizontal="center" vertical="center"/>
    </xf>
    <xf numFmtId="2" fontId="0" fillId="31" borderId="44" xfId="0" applyNumberFormat="1" applyFill="1" applyBorder="1" applyAlignment="1">
      <alignment horizontal="center" vertical="center" wrapText="1"/>
    </xf>
    <xf numFmtId="2" fontId="4" fillId="7" borderId="50" xfId="0" applyNumberFormat="1" applyFont="1" applyFill="1" applyBorder="1" applyAlignment="1">
      <alignment horizontal="center" vertical="center"/>
    </xf>
    <xf numFmtId="0" fontId="18" fillId="7" borderId="18" xfId="0" applyFont="1" applyFill="1" applyBorder="1" applyAlignment="1">
      <alignment horizontal="center" vertical="center"/>
    </xf>
    <xf numFmtId="165" fontId="18" fillId="7" borderId="18" xfId="0" applyNumberFormat="1" applyFont="1" applyFill="1" applyBorder="1" applyAlignment="1">
      <alignment horizontal="center" vertical="center"/>
    </xf>
    <xf numFmtId="0" fontId="48" fillId="12" borderId="0" xfId="0" applyFont="1" applyFill="1"/>
    <xf numFmtId="0" fontId="4" fillId="12" borderId="0" xfId="0" applyFont="1" applyFill="1"/>
    <xf numFmtId="0" fontId="18" fillId="33" borderId="18" xfId="0" applyFont="1" applyFill="1" applyBorder="1" applyAlignment="1">
      <alignment horizontal="center" vertical="center" wrapText="1"/>
    </xf>
    <xf numFmtId="165" fontId="18" fillId="33" borderId="18" xfId="0" applyNumberFormat="1" applyFont="1" applyFill="1" applyBorder="1" applyAlignment="1">
      <alignment horizontal="center" vertical="center"/>
    </xf>
    <xf numFmtId="0" fontId="49" fillId="12" borderId="0" xfId="0" applyFont="1" applyFill="1"/>
    <xf numFmtId="10" fontId="0" fillId="12" borderId="0" xfId="0" applyNumberFormat="1" applyFill="1"/>
    <xf numFmtId="2" fontId="49" fillId="12" borderId="0" xfId="0" applyNumberFormat="1" applyFont="1" applyFill="1"/>
    <xf numFmtId="165" fontId="11" fillId="32" borderId="26" xfId="0" applyNumberFormat="1" applyFont="1" applyFill="1" applyBorder="1" applyAlignment="1">
      <alignment horizontal="center" vertical="center"/>
    </xf>
    <xf numFmtId="165" fontId="36" fillId="32" borderId="14" xfId="0" applyNumberFormat="1" applyFont="1" applyFill="1" applyBorder="1" applyAlignment="1">
      <alignment horizontal="center" vertical="center"/>
    </xf>
    <xf numFmtId="165" fontId="36" fillId="32" borderId="29" xfId="0" applyNumberFormat="1" applyFont="1" applyFill="1" applyBorder="1" applyAlignment="1">
      <alignment horizontal="center" vertical="center"/>
    </xf>
    <xf numFmtId="0" fontId="22" fillId="28" borderId="51" xfId="0" applyFont="1" applyFill="1" applyBorder="1" applyAlignment="1">
      <alignment horizontal="center" vertical="center"/>
    </xf>
    <xf numFmtId="0" fontId="22" fillId="28" borderId="52" xfId="0" applyFont="1" applyFill="1" applyBorder="1" applyAlignment="1">
      <alignment horizontal="center" vertical="center" wrapText="1"/>
    </xf>
    <xf numFmtId="0" fontId="18" fillId="7" borderId="39" xfId="0" applyFont="1" applyFill="1" applyBorder="1" applyAlignment="1">
      <alignment horizontal="center" vertical="center"/>
    </xf>
    <xf numFmtId="165" fontId="18" fillId="7" borderId="39" xfId="0" applyNumberFormat="1" applyFont="1" applyFill="1" applyBorder="1" applyAlignment="1">
      <alignment horizontal="center" vertical="center"/>
    </xf>
    <xf numFmtId="0" fontId="36" fillId="32" borderId="13" xfId="0" applyFont="1" applyFill="1" applyBorder="1" applyAlignment="1">
      <alignment horizontal="center" vertical="center"/>
    </xf>
    <xf numFmtId="165" fontId="36" fillId="32" borderId="13" xfId="0" applyNumberFormat="1" applyFont="1" applyFill="1" applyBorder="1" applyAlignment="1">
      <alignment horizontal="center" vertical="center"/>
    </xf>
    <xf numFmtId="0" fontId="22" fillId="23" borderId="8" xfId="0" applyFont="1" applyFill="1" applyBorder="1" applyAlignment="1">
      <alignment horizontal="center" vertical="center"/>
    </xf>
    <xf numFmtId="0" fontId="18" fillId="7" borderId="53" xfId="0" applyFont="1" applyFill="1" applyBorder="1" applyAlignment="1">
      <alignment horizontal="center" vertical="center"/>
    </xf>
    <xf numFmtId="165" fontId="18" fillId="7" borderId="53" xfId="0" applyNumberFormat="1" applyFont="1" applyFill="1" applyBorder="1" applyAlignment="1">
      <alignment horizontal="center" vertical="center"/>
    </xf>
    <xf numFmtId="0" fontId="36" fillId="12" borderId="9" xfId="0" applyFont="1" applyFill="1" applyBorder="1" applyAlignment="1">
      <alignment horizontal="center" vertical="center"/>
    </xf>
    <xf numFmtId="0" fontId="22" fillId="28" borderId="78" xfId="0" applyFont="1" applyFill="1" applyBorder="1" applyAlignment="1">
      <alignment horizontal="center" vertical="center"/>
    </xf>
    <xf numFmtId="0" fontId="22" fillId="28" borderId="51" xfId="0" applyFont="1" applyFill="1" applyBorder="1" applyAlignment="1">
      <alignment horizontal="center" vertical="center" wrapText="1"/>
    </xf>
    <xf numFmtId="0" fontId="18" fillId="33" borderId="39" xfId="0" applyFont="1" applyFill="1" applyBorder="1" applyAlignment="1">
      <alignment horizontal="center" vertical="center" wrapText="1"/>
    </xf>
    <xf numFmtId="165" fontId="18" fillId="33" borderId="39" xfId="0" applyNumberFormat="1" applyFont="1" applyFill="1" applyBorder="1" applyAlignment="1">
      <alignment horizontal="center" vertical="center"/>
    </xf>
    <xf numFmtId="0" fontId="18" fillId="33" borderId="53" xfId="0" applyFont="1" applyFill="1" applyBorder="1" applyAlignment="1">
      <alignment horizontal="center" vertical="center" wrapText="1"/>
    </xf>
    <xf numFmtId="165" fontId="18" fillId="33" borderId="53" xfId="0" applyNumberFormat="1" applyFont="1" applyFill="1" applyBorder="1" applyAlignment="1">
      <alignment horizontal="center" vertical="center"/>
    </xf>
    <xf numFmtId="0" fontId="22" fillId="28" borderId="78" xfId="0" applyFont="1" applyFill="1" applyBorder="1" applyAlignment="1">
      <alignment horizontal="center" vertical="center" wrapText="1"/>
    </xf>
    <xf numFmtId="165" fontId="41" fillId="12" borderId="0" xfId="0" applyNumberFormat="1" applyFont="1" applyFill="1"/>
    <xf numFmtId="0" fontId="12" fillId="5" borderId="37" xfId="0" applyFont="1" applyFill="1" applyBorder="1" applyAlignment="1">
      <alignment horizontal="center" vertical="center" wrapText="1"/>
    </xf>
    <xf numFmtId="0" fontId="0" fillId="2" borderId="68" xfId="0" applyFill="1" applyBorder="1" applyAlignment="1">
      <alignment horizontal="center" vertical="center" wrapText="1"/>
    </xf>
    <xf numFmtId="0" fontId="0" fillId="28" borderId="48" xfId="0" applyFill="1" applyBorder="1"/>
    <xf numFmtId="0" fontId="12" fillId="28" borderId="50" xfId="0" applyFont="1" applyFill="1" applyBorder="1" applyAlignment="1">
      <alignment horizontal="center" vertical="center" wrapText="1"/>
    </xf>
    <xf numFmtId="0" fontId="25" fillId="2" borderId="48"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25" fillId="2" borderId="50" xfId="0" applyFont="1" applyFill="1" applyBorder="1" applyAlignment="1">
      <alignment horizontal="center" vertical="center" wrapText="1"/>
    </xf>
    <xf numFmtId="165" fontId="0" fillId="25" borderId="24" xfId="0" applyNumberFormat="1" applyFill="1" applyBorder="1" applyAlignment="1">
      <alignment horizontal="center" vertical="center" wrapText="1"/>
    </xf>
    <xf numFmtId="165" fontId="0" fillId="25" borderId="18" xfId="0" applyNumberFormat="1" applyFill="1" applyBorder="1" applyAlignment="1">
      <alignment horizontal="center" vertical="center" wrapText="1"/>
    </xf>
    <xf numFmtId="0" fontId="43" fillId="5" borderId="24" xfId="0" applyFont="1" applyFill="1" applyBorder="1" applyAlignment="1">
      <alignment horizontal="center" vertical="center" wrapText="1"/>
    </xf>
    <xf numFmtId="0" fontId="43" fillId="12" borderId="24" xfId="0" applyFont="1" applyFill="1" applyBorder="1" applyAlignment="1">
      <alignment horizontal="center" vertical="center" wrapText="1"/>
    </xf>
    <xf numFmtId="0" fontId="41" fillId="0" borderId="0" xfId="0" applyFont="1"/>
    <xf numFmtId="2" fontId="0" fillId="0" borderId="67" xfId="0" applyNumberFormat="1" applyBorder="1" applyAlignment="1" applyProtection="1">
      <alignment horizontal="center" vertical="center" wrapText="1"/>
      <protection locked="0"/>
    </xf>
    <xf numFmtId="2" fontId="0" fillId="0" borderId="23" xfId="0" applyNumberFormat="1" applyBorder="1" applyAlignment="1" applyProtection="1">
      <alignment horizontal="center" vertical="center" wrapText="1"/>
      <protection locked="0"/>
    </xf>
    <xf numFmtId="2" fontId="0" fillId="0" borderId="57" xfId="0" applyNumberFormat="1" applyBorder="1" applyAlignment="1" applyProtection="1">
      <alignment horizontal="center" vertical="center" wrapText="1"/>
      <protection locked="0"/>
    </xf>
    <xf numFmtId="0" fontId="14" fillId="23" borderId="58" xfId="0" applyFont="1" applyFill="1" applyBorder="1" applyAlignment="1">
      <alignment horizontal="center" vertical="center" wrapText="1"/>
    </xf>
    <xf numFmtId="165" fontId="0" fillId="25" borderId="13" xfId="0" applyNumberFormat="1" applyFill="1" applyBorder="1" applyAlignment="1">
      <alignment horizontal="center" vertical="center" wrapText="1"/>
    </xf>
    <xf numFmtId="0" fontId="4" fillId="2" borderId="18" xfId="0" applyFont="1" applyFill="1" applyBorder="1" applyAlignment="1">
      <alignment horizontal="center" vertical="center"/>
    </xf>
    <xf numFmtId="0" fontId="0" fillId="2" borderId="61" xfId="0" applyFill="1" applyBorder="1" applyAlignment="1">
      <alignment horizontal="center" vertical="center" wrapText="1"/>
    </xf>
    <xf numFmtId="0" fontId="4" fillId="2" borderId="18" xfId="0" applyFont="1" applyFill="1" applyBorder="1" applyAlignment="1">
      <alignment horizontal="center" vertical="center" wrapText="1"/>
    </xf>
    <xf numFmtId="0" fontId="4" fillId="12" borderId="18" xfId="0" applyFont="1" applyFill="1" applyBorder="1" applyAlignment="1">
      <alignment horizontal="center" vertical="center" wrapText="1"/>
    </xf>
    <xf numFmtId="0" fontId="48" fillId="12" borderId="0" xfId="0" applyFont="1" applyFill="1" applyAlignment="1">
      <alignment horizontal="left"/>
    </xf>
    <xf numFmtId="0" fontId="12" fillId="5" borderId="44" xfId="0" applyFont="1" applyFill="1" applyBorder="1" applyAlignment="1">
      <alignment horizontal="center" vertical="center" wrapText="1"/>
    </xf>
    <xf numFmtId="0" fontId="30" fillId="28" borderId="4" xfId="0" applyFont="1" applyFill="1" applyBorder="1" applyAlignment="1">
      <alignment horizontal="center" vertical="center" wrapText="1"/>
    </xf>
    <xf numFmtId="0" fontId="0" fillId="2" borderId="49" xfId="0" applyFill="1" applyBorder="1" applyAlignment="1">
      <alignment horizontal="center" vertical="center"/>
    </xf>
    <xf numFmtId="0" fontId="0" fillId="2" borderId="50" xfId="0" applyFill="1" applyBorder="1" applyAlignment="1">
      <alignment horizontal="center" vertical="center"/>
    </xf>
    <xf numFmtId="165" fontId="5" fillId="3" borderId="5" xfId="0" applyNumberFormat="1" applyFont="1" applyFill="1" applyBorder="1" applyAlignment="1">
      <alignment horizontal="center" vertical="center"/>
    </xf>
    <xf numFmtId="165" fontId="5" fillId="3" borderId="6" xfId="0" applyNumberFormat="1" applyFont="1" applyFill="1" applyBorder="1" applyAlignment="1">
      <alignment vertical="center"/>
    </xf>
    <xf numFmtId="165" fontId="5" fillId="3" borderId="45" xfId="0" applyNumberFormat="1" applyFont="1" applyFill="1" applyBorder="1" applyAlignment="1">
      <alignment horizontal="center" vertical="center"/>
    </xf>
    <xf numFmtId="165" fontId="5" fillId="3" borderId="56" xfId="0" applyNumberFormat="1" applyFont="1" applyFill="1" applyBorder="1" applyAlignment="1">
      <alignment vertical="center"/>
    </xf>
    <xf numFmtId="165" fontId="5" fillId="3" borderId="34" xfId="0" applyNumberFormat="1" applyFont="1" applyFill="1" applyBorder="1" applyAlignment="1">
      <alignment horizontal="center" vertical="center"/>
    </xf>
    <xf numFmtId="165" fontId="5" fillId="3" borderId="36" xfId="0" applyNumberFormat="1" applyFont="1" applyFill="1" applyBorder="1" applyAlignment="1">
      <alignment vertical="center"/>
    </xf>
    <xf numFmtId="0" fontId="50" fillId="12" borderId="0" xfId="0" applyFont="1" applyFill="1"/>
    <xf numFmtId="0" fontId="50" fillId="12" borderId="0" xfId="0" applyFont="1" applyFill="1" applyAlignment="1">
      <alignment vertical="center" wrapText="1"/>
    </xf>
    <xf numFmtId="165" fontId="50" fillId="12" borderId="0" xfId="0" applyNumberFormat="1" applyFont="1" applyFill="1" applyAlignment="1">
      <alignment vertical="center" wrapText="1"/>
    </xf>
    <xf numFmtId="10" fontId="50" fillId="12" borderId="0" xfId="0" applyNumberFormat="1" applyFont="1" applyFill="1" applyAlignment="1">
      <alignment horizontal="center"/>
    </xf>
    <xf numFmtId="0" fontId="50" fillId="12" borderId="0" xfId="0" applyFont="1" applyFill="1" applyAlignment="1">
      <alignment vertical="center"/>
    </xf>
    <xf numFmtId="0" fontId="50" fillId="0" borderId="0" xfId="0" applyFont="1"/>
    <xf numFmtId="0" fontId="51" fillId="12" borderId="0" xfId="0" applyFont="1" applyFill="1"/>
    <xf numFmtId="0" fontId="25" fillId="12" borderId="0" xfId="0" applyFont="1" applyFill="1"/>
    <xf numFmtId="0" fontId="25" fillId="12" borderId="0" xfId="0" applyFont="1" applyFill="1" applyAlignment="1">
      <alignment vertical="center" wrapText="1"/>
    </xf>
    <xf numFmtId="0" fontId="14" fillId="5" borderId="58" xfId="0" applyFont="1" applyFill="1" applyBorder="1" applyAlignment="1">
      <alignment horizontal="center" vertical="center" wrapText="1"/>
    </xf>
    <xf numFmtId="0" fontId="14" fillId="5" borderId="53" xfId="0" applyFont="1" applyFill="1" applyBorder="1" applyAlignment="1">
      <alignment horizontal="center" vertical="center" wrapText="1"/>
    </xf>
    <xf numFmtId="2" fontId="5" fillId="12" borderId="0" xfId="0" applyNumberFormat="1" applyFont="1" applyFill="1" applyAlignment="1">
      <alignment horizontal="center" vertical="center"/>
    </xf>
    <xf numFmtId="165" fontId="25" fillId="7" borderId="14" xfId="0" applyNumberFormat="1" applyFont="1" applyFill="1" applyBorder="1" applyAlignment="1">
      <alignment horizontal="center" vertical="center" wrapText="1"/>
    </xf>
    <xf numFmtId="0" fontId="0" fillId="2" borderId="76" xfId="0" applyFill="1" applyBorder="1" applyAlignment="1">
      <alignment horizontal="center" vertical="center" wrapText="1"/>
    </xf>
    <xf numFmtId="0" fontId="0" fillId="12" borderId="60" xfId="0"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0" fillId="12" borderId="27" xfId="0" applyFill="1" applyBorder="1" applyAlignment="1">
      <alignment horizontal="center" vertical="center" wrapText="1"/>
    </xf>
    <xf numFmtId="0" fontId="0" fillId="12" borderId="65" xfId="0" applyFill="1" applyBorder="1" applyAlignment="1">
      <alignment horizontal="center" vertical="center" wrapText="1"/>
    </xf>
    <xf numFmtId="0" fontId="0" fillId="2" borderId="77"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0" fontId="0" fillId="2" borderId="62" xfId="0" applyFill="1" applyBorder="1" applyAlignment="1">
      <alignment horizontal="center" vertical="center" wrapText="1"/>
    </xf>
    <xf numFmtId="0" fontId="0" fillId="2" borderId="34" xfId="0" applyFill="1" applyBorder="1" applyAlignment="1">
      <alignment horizontal="center" vertical="center" wrapText="1"/>
    </xf>
    <xf numFmtId="0" fontId="0" fillId="12" borderId="67" xfId="0" applyFill="1" applyBorder="1" applyAlignment="1">
      <alignment horizontal="center" vertical="center" wrapText="1"/>
    </xf>
    <xf numFmtId="0" fontId="14" fillId="5" borderId="71" xfId="0" applyFont="1" applyFill="1" applyBorder="1" applyAlignment="1">
      <alignment horizontal="center" vertical="center" wrapText="1"/>
    </xf>
    <xf numFmtId="0" fontId="0" fillId="2" borderId="57" xfId="0" applyFill="1" applyBorder="1" applyAlignment="1">
      <alignment horizontal="center" vertical="center" wrapText="1"/>
    </xf>
    <xf numFmtId="0" fontId="0" fillId="12" borderId="62" xfId="0" applyFill="1" applyBorder="1" applyAlignment="1">
      <alignment horizontal="center" vertical="center" wrapText="1"/>
    </xf>
    <xf numFmtId="0" fontId="0" fillId="2" borderId="39" xfId="0" applyFill="1" applyBorder="1" applyAlignment="1">
      <alignment horizontal="center" vertical="center" wrapText="1"/>
    </xf>
    <xf numFmtId="164" fontId="0" fillId="2" borderId="26" xfId="0" applyNumberFormat="1" applyFill="1" applyBorder="1" applyAlignment="1">
      <alignment horizontal="center" vertical="center" wrapText="1"/>
    </xf>
    <xf numFmtId="164" fontId="0" fillId="2" borderId="77" xfId="0" applyNumberFormat="1" applyFill="1" applyBorder="1" applyAlignment="1">
      <alignment horizontal="center" vertical="center" wrapText="1"/>
    </xf>
    <xf numFmtId="164" fontId="0" fillId="2" borderId="35" xfId="0" applyNumberFormat="1" applyFill="1" applyBorder="1" applyAlignment="1">
      <alignment horizontal="center" vertical="center" wrapText="1"/>
    </xf>
    <xf numFmtId="164" fontId="0" fillId="2" borderId="5" xfId="0" applyNumberFormat="1" applyFill="1" applyBorder="1" applyAlignment="1">
      <alignment horizontal="center" vertical="center" wrapText="1"/>
    </xf>
    <xf numFmtId="164" fontId="0" fillId="2" borderId="21" xfId="0" applyNumberFormat="1" applyFill="1" applyBorder="1" applyAlignment="1">
      <alignment horizontal="center" vertical="center" wrapText="1"/>
    </xf>
    <xf numFmtId="164" fontId="0" fillId="2" borderId="34" xfId="0" applyNumberFormat="1" applyFill="1" applyBorder="1" applyAlignment="1">
      <alignment horizontal="center" vertical="center" wrapText="1"/>
    </xf>
    <xf numFmtId="0" fontId="14" fillId="5" borderId="52" xfId="0" applyFont="1" applyFill="1" applyBorder="1" applyAlignment="1">
      <alignment horizontal="center" vertical="center" wrapText="1"/>
    </xf>
    <xf numFmtId="0" fontId="14" fillId="12" borderId="27" xfId="0" applyFont="1" applyFill="1" applyBorder="1" applyAlignment="1">
      <alignment horizontal="center" vertical="center" wrapText="1"/>
    </xf>
    <xf numFmtId="0" fontId="0" fillId="2" borderId="48" xfId="0" applyFill="1" applyBorder="1" applyAlignment="1">
      <alignment horizontal="center" vertical="center"/>
    </xf>
    <xf numFmtId="0" fontId="23" fillId="23" borderId="62" xfId="0" applyFont="1" applyFill="1" applyBorder="1" applyAlignment="1">
      <alignment horizontal="center" vertical="center" wrapText="1"/>
    </xf>
    <xf numFmtId="0" fontId="23" fillId="23" borderId="27" xfId="0" applyFont="1" applyFill="1" applyBorder="1" applyAlignment="1">
      <alignment horizontal="center" vertical="center" wrapText="1"/>
    </xf>
    <xf numFmtId="0" fontId="23" fillId="23" borderId="61" xfId="0" applyFont="1" applyFill="1" applyBorder="1" applyAlignment="1">
      <alignment horizontal="center" vertical="center" wrapText="1"/>
    </xf>
    <xf numFmtId="165" fontId="5" fillId="0" borderId="34" xfId="0" applyNumberFormat="1" applyFont="1" applyBorder="1" applyAlignment="1">
      <alignment horizontal="center" vertical="center" wrapText="1"/>
    </xf>
    <xf numFmtId="165" fontId="52" fillId="34" borderId="36" xfId="0" applyNumberFormat="1" applyFont="1" applyFill="1" applyBorder="1" applyAlignment="1">
      <alignment horizontal="center" vertical="center" wrapText="1"/>
    </xf>
    <xf numFmtId="165" fontId="5" fillId="25" borderId="5" xfId="0" applyNumberFormat="1" applyFont="1" applyFill="1" applyBorder="1" applyAlignment="1">
      <alignment horizontal="center" vertical="center" wrapText="1"/>
    </xf>
    <xf numFmtId="165" fontId="52" fillId="34" borderId="6" xfId="0" applyNumberFormat="1" applyFont="1" applyFill="1" applyBorder="1" applyAlignment="1">
      <alignment horizontal="center" vertical="center" wrapText="1"/>
    </xf>
    <xf numFmtId="165" fontId="5" fillId="0" borderId="45" xfId="0" applyNumberFormat="1" applyFont="1" applyBorder="1" applyAlignment="1">
      <alignment horizontal="center" vertical="center" wrapText="1"/>
    </xf>
    <xf numFmtId="165" fontId="52" fillId="34" borderId="56" xfId="0" applyNumberFormat="1" applyFont="1" applyFill="1" applyBorder="1" applyAlignment="1">
      <alignment horizontal="center" vertical="center" wrapText="1"/>
    </xf>
    <xf numFmtId="10" fontId="5" fillId="0" borderId="5" xfId="32" applyNumberFormat="1" applyFont="1" applyFill="1" applyBorder="1" applyAlignment="1">
      <alignment horizontal="center" vertical="center" wrapText="1"/>
    </xf>
    <xf numFmtId="165" fontId="53" fillId="35" borderId="6" xfId="0" applyNumberFormat="1" applyFont="1" applyFill="1" applyBorder="1" applyAlignment="1">
      <alignment horizontal="center" vertical="center" wrapText="1"/>
    </xf>
    <xf numFmtId="10" fontId="5" fillId="0" borderId="45" xfId="32" applyNumberFormat="1" applyFont="1" applyFill="1" applyBorder="1" applyAlignment="1">
      <alignment horizontal="center" vertical="center" wrapText="1"/>
    </xf>
    <xf numFmtId="165" fontId="53" fillId="35" borderId="56" xfId="0" applyNumberFormat="1" applyFont="1" applyFill="1" applyBorder="1" applyAlignment="1">
      <alignment horizontal="center" vertical="center" wrapText="1"/>
    </xf>
    <xf numFmtId="10" fontId="5" fillId="0" borderId="47" xfId="32" applyNumberFormat="1" applyFont="1" applyFill="1" applyBorder="1" applyAlignment="1">
      <alignment horizontal="center" vertical="center" wrapText="1"/>
    </xf>
    <xf numFmtId="165" fontId="53" fillId="35" borderId="55" xfId="0" applyNumberFormat="1" applyFont="1" applyFill="1" applyBorder="1" applyAlignment="1">
      <alignment horizontal="center" vertical="center" wrapText="1"/>
    </xf>
    <xf numFmtId="2" fontId="0" fillId="2" borderId="11" xfId="0" applyNumberFormat="1" applyFill="1" applyBorder="1" applyAlignment="1">
      <alignment horizontal="center" vertical="center" wrapText="1"/>
    </xf>
    <xf numFmtId="0" fontId="0" fillId="2" borderId="56" xfId="0" applyFill="1" applyBorder="1" applyAlignment="1">
      <alignment horizontal="center" vertical="center" wrapText="1"/>
    </xf>
    <xf numFmtId="0" fontId="0" fillId="2" borderId="67" xfId="0" applyFill="1" applyBorder="1" applyAlignment="1">
      <alignment horizontal="center" vertical="center"/>
    </xf>
    <xf numFmtId="0" fontId="0" fillId="0" borderId="24" xfId="0" applyBorder="1"/>
    <xf numFmtId="0" fontId="0" fillId="0" borderId="51" xfId="0" applyBorder="1" applyAlignment="1">
      <alignment horizontal="center" vertical="center" wrapText="1"/>
    </xf>
    <xf numFmtId="0" fontId="0" fillId="0" borderId="69" xfId="0" applyBorder="1" applyAlignment="1">
      <alignment horizontal="center" vertical="center" wrapText="1"/>
    </xf>
    <xf numFmtId="0" fontId="0" fillId="7" borderId="2" xfId="0" applyFill="1" applyBorder="1" applyAlignment="1" applyProtection="1">
      <alignment horizontal="center" vertical="center" wrapText="1"/>
      <protection locked="0"/>
    </xf>
    <xf numFmtId="0" fontId="0" fillId="26" borderId="28" xfId="0" applyFill="1" applyBorder="1" applyAlignment="1">
      <alignment horizontal="center" vertical="center" wrapText="1"/>
    </xf>
    <xf numFmtId="0" fontId="0" fillId="26" borderId="20" xfId="0" applyFill="1" applyBorder="1" applyAlignment="1">
      <alignment horizontal="center" vertical="center" wrapText="1"/>
    </xf>
    <xf numFmtId="0" fontId="0" fillId="26" borderId="15" xfId="0" applyFill="1" applyBorder="1" applyAlignment="1">
      <alignment horizontal="center" vertical="center" wrapText="1"/>
    </xf>
    <xf numFmtId="0" fontId="0" fillId="26" borderId="11" xfId="0" applyFill="1" applyBorder="1" applyAlignment="1">
      <alignment horizontal="center" vertical="center" wrapText="1"/>
    </xf>
    <xf numFmtId="0" fontId="0" fillId="21" borderId="25" xfId="0" applyFill="1" applyBorder="1" applyAlignment="1">
      <alignment horizontal="center" vertical="center" wrapText="1"/>
    </xf>
    <xf numFmtId="0" fontId="0" fillId="21" borderId="20" xfId="0" applyFill="1" applyBorder="1" applyAlignment="1">
      <alignment horizontal="center" vertical="center" wrapText="1"/>
    </xf>
    <xf numFmtId="0" fontId="0" fillId="21" borderId="76" xfId="0" applyFill="1" applyBorder="1" applyAlignment="1">
      <alignment horizontal="center" vertical="center" wrapText="1"/>
    </xf>
    <xf numFmtId="0" fontId="0" fillId="0" borderId="53" xfId="0" applyBorder="1" applyAlignment="1" applyProtection="1">
      <alignment horizontal="center" wrapText="1"/>
      <protection locked="0"/>
    </xf>
    <xf numFmtId="0" fontId="0" fillId="0" borderId="9" xfId="0" applyBorder="1" applyAlignment="1" applyProtection="1">
      <alignment horizontal="center" wrapText="1"/>
      <protection locked="0"/>
    </xf>
    <xf numFmtId="0" fontId="19" fillId="0" borderId="61" xfId="0" applyFont="1" applyBorder="1" applyAlignment="1" applyProtection="1">
      <alignment horizontal="center" vertical="center" wrapText="1"/>
      <protection locked="0"/>
    </xf>
    <xf numFmtId="0" fontId="19" fillId="0" borderId="55" xfId="0" applyFont="1" applyBorder="1" applyAlignment="1" applyProtection="1">
      <alignment horizontal="center" vertical="center" wrapText="1"/>
      <protection locked="0"/>
    </xf>
    <xf numFmtId="0" fontId="55" fillId="12" borderId="0" xfId="0" applyFont="1" applyFill="1" applyAlignment="1">
      <alignment horizontal="left" vertical="center" wrapText="1"/>
    </xf>
    <xf numFmtId="0" fontId="19" fillId="0" borderId="53" xfId="0" applyFont="1" applyBorder="1" applyAlignment="1" applyProtection="1">
      <alignment horizontal="center" vertical="center"/>
      <protection locked="0"/>
    </xf>
    <xf numFmtId="0" fontId="24" fillId="7" borderId="9" xfId="21" applyFont="1" applyFill="1" applyBorder="1" applyAlignment="1">
      <alignment horizontal="center" vertical="center" wrapText="1"/>
    </xf>
    <xf numFmtId="0" fontId="0" fillId="4" borderId="11" xfId="0" applyFill="1" applyBorder="1" applyAlignment="1">
      <alignment horizontal="center" vertical="center"/>
    </xf>
    <xf numFmtId="0" fontId="0" fillId="4" borderId="13" xfId="0" applyFill="1" applyBorder="1" applyAlignment="1">
      <alignment horizontal="center" vertical="center" wrapText="1"/>
    </xf>
    <xf numFmtId="0" fontId="0" fillId="4" borderId="14" xfId="0" applyFill="1" applyBorder="1" applyAlignment="1">
      <alignment horizontal="center" vertical="center"/>
    </xf>
    <xf numFmtId="0" fontId="0" fillId="12" borderId="0" xfId="0" applyFill="1" applyAlignment="1">
      <alignment horizontal="center" vertical="top" wrapText="1"/>
    </xf>
    <xf numFmtId="49" fontId="4" fillId="12" borderId="0" xfId="0" applyNumberFormat="1" applyFont="1" applyFill="1" applyAlignment="1">
      <alignment horizontal="center"/>
    </xf>
    <xf numFmtId="0" fontId="4" fillId="12" borderId="0" xfId="0" applyFont="1" applyFill="1" applyAlignment="1">
      <alignment horizontal="center"/>
    </xf>
    <xf numFmtId="0" fontId="0" fillId="12" borderId="0" xfId="0" applyFill="1" applyAlignment="1">
      <alignment horizontal="center" vertical="top"/>
    </xf>
    <xf numFmtId="0" fontId="45" fillId="12" borderId="0" xfId="0" applyFont="1" applyFill="1" applyAlignment="1">
      <alignment horizontal="center" vertical="center"/>
    </xf>
    <xf numFmtId="0" fontId="6" fillId="12" borderId="0" xfId="0" applyFont="1" applyFill="1" applyAlignment="1">
      <alignment horizontal="center"/>
    </xf>
    <xf numFmtId="0" fontId="8" fillId="12" borderId="0" xfId="0" applyFont="1" applyFill="1" applyAlignment="1">
      <alignment horizontal="center" vertical="center" wrapText="1"/>
    </xf>
    <xf numFmtId="0" fontId="8" fillId="12" borderId="0" xfId="0" applyFont="1" applyFill="1" applyAlignment="1">
      <alignment horizontal="center" vertical="center"/>
    </xf>
    <xf numFmtId="0" fontId="28" fillId="12" borderId="0" xfId="0" applyFont="1" applyFill="1" applyAlignment="1">
      <alignment horizontal="center" vertical="center"/>
    </xf>
    <xf numFmtId="0" fontId="2" fillId="12" borderId="0" xfId="0" applyFont="1" applyFill="1" applyAlignment="1">
      <alignment horizontal="center"/>
    </xf>
    <xf numFmtId="0" fontId="0" fillId="12" borderId="0" xfId="0" applyFill="1" applyAlignment="1">
      <alignment horizontal="left" vertical="top" wrapText="1"/>
    </xf>
    <xf numFmtId="0" fontId="18" fillId="0" borderId="30" xfId="0" applyFont="1" applyBorder="1" applyAlignment="1" applyProtection="1">
      <alignment horizontal="center" vertical="center" wrapText="1"/>
      <protection locked="0"/>
    </xf>
    <xf numFmtId="0" fontId="18" fillId="0" borderId="75" xfId="0" applyFont="1" applyBorder="1" applyAlignment="1" applyProtection="1">
      <alignment horizontal="center" vertical="center" wrapText="1"/>
      <protection locked="0"/>
    </xf>
    <xf numFmtId="0" fontId="18" fillId="0" borderId="21" xfId="0" applyFont="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1" fillId="14" borderId="74" xfId="1" applyFont="1" applyFill="1" applyBorder="1" applyAlignment="1">
      <alignment horizontal="center" vertical="center"/>
    </xf>
    <xf numFmtId="0" fontId="11" fillId="14" borderId="31" xfId="1" applyFont="1" applyFill="1" applyBorder="1" applyAlignment="1">
      <alignment horizontal="center" vertical="center"/>
    </xf>
    <xf numFmtId="0" fontId="11" fillId="14" borderId="32" xfId="1" applyFont="1" applyFill="1" applyBorder="1" applyAlignment="1">
      <alignment horizontal="center" vertical="center"/>
    </xf>
    <xf numFmtId="0" fontId="11" fillId="14" borderId="68" xfId="1" applyFont="1" applyFill="1" applyBorder="1" applyAlignment="1">
      <alignment horizontal="center" vertical="center"/>
    </xf>
    <xf numFmtId="0" fontId="11" fillId="14" borderId="17" xfId="1" applyFont="1" applyFill="1" applyBorder="1" applyAlignment="1">
      <alignment horizontal="center" vertical="center"/>
    </xf>
    <xf numFmtId="0" fontId="11" fillId="14" borderId="46" xfId="1" applyFont="1" applyFill="1" applyBorder="1" applyAlignment="1">
      <alignment horizontal="center" vertical="center"/>
    </xf>
    <xf numFmtId="0" fontId="36" fillId="29" borderId="28" xfId="0" applyFont="1" applyFill="1" applyBorder="1" applyAlignment="1">
      <alignment horizontal="center" vertical="center"/>
    </xf>
    <xf numFmtId="0" fontId="36" fillId="29" borderId="18" xfId="0" applyFont="1" applyFill="1" applyBorder="1" applyAlignment="1">
      <alignment horizontal="center" vertical="center"/>
    </xf>
    <xf numFmtId="0" fontId="36" fillId="30" borderId="18" xfId="0" applyFont="1" applyFill="1" applyBorder="1" applyAlignment="1">
      <alignment horizontal="center" vertical="center"/>
    </xf>
    <xf numFmtId="0" fontId="36" fillId="30" borderId="29" xfId="0" applyFont="1" applyFill="1" applyBorder="1" applyAlignment="1">
      <alignment horizontal="center" vertical="center"/>
    </xf>
    <xf numFmtId="0" fontId="25" fillId="25" borderId="59" xfId="1" applyFont="1" applyFill="1" applyBorder="1" applyAlignment="1">
      <alignment horizontal="center" vertical="center"/>
    </xf>
    <xf numFmtId="0" fontId="25" fillId="25" borderId="60" xfId="1" applyFont="1" applyFill="1" applyBorder="1" applyAlignment="1">
      <alignment horizontal="center" vertical="center"/>
    </xf>
    <xf numFmtId="0" fontId="25" fillId="25" borderId="21" xfId="1" applyFont="1" applyFill="1" applyBorder="1" applyAlignment="1">
      <alignment horizontal="center" vertical="center"/>
    </xf>
    <xf numFmtId="0" fontId="25" fillId="25" borderId="23" xfId="1" applyFont="1" applyFill="1" applyBorder="1" applyAlignment="1">
      <alignment horizontal="center" vertical="center"/>
    </xf>
    <xf numFmtId="0" fontId="11" fillId="30" borderId="65" xfId="1" applyFont="1" applyFill="1" applyBorder="1" applyAlignment="1">
      <alignment horizontal="center" vertical="center"/>
    </xf>
    <xf numFmtId="0" fontId="11" fillId="30" borderId="64" xfId="1" applyFont="1" applyFill="1" applyBorder="1" applyAlignment="1">
      <alignment horizontal="center" vertical="center"/>
    </xf>
    <xf numFmtId="0" fontId="11" fillId="30" borderId="80" xfId="1" applyFont="1" applyFill="1" applyBorder="1" applyAlignment="1">
      <alignment horizontal="center" vertical="center"/>
    </xf>
    <xf numFmtId="0" fontId="11" fillId="30" borderId="68" xfId="1" applyFont="1" applyFill="1" applyBorder="1" applyAlignment="1">
      <alignment horizontal="center" vertical="center"/>
    </xf>
    <xf numFmtId="0" fontId="11" fillId="30" borderId="17" xfId="1" applyFont="1" applyFill="1" applyBorder="1" applyAlignment="1">
      <alignment horizontal="center" vertical="center"/>
    </xf>
    <xf numFmtId="0" fontId="11" fillId="30" borderId="46" xfId="1" applyFont="1" applyFill="1" applyBorder="1" applyAlignment="1">
      <alignment horizontal="center" vertical="center"/>
    </xf>
    <xf numFmtId="0" fontId="25" fillId="32" borderId="59" xfId="1" applyFont="1" applyFill="1" applyBorder="1" applyAlignment="1">
      <alignment horizontal="center" vertical="center"/>
    </xf>
    <xf numFmtId="0" fontId="25" fillId="32" borderId="60" xfId="1" applyFont="1" applyFill="1" applyBorder="1" applyAlignment="1">
      <alignment horizontal="center" vertical="center"/>
    </xf>
    <xf numFmtId="0" fontId="25" fillId="32" borderId="21" xfId="1" applyFont="1" applyFill="1" applyBorder="1" applyAlignment="1">
      <alignment horizontal="center" vertical="center"/>
    </xf>
    <xf numFmtId="0" fontId="25" fillId="32" borderId="23" xfId="1" applyFont="1" applyFill="1" applyBorder="1" applyAlignment="1">
      <alignment horizontal="center" vertical="center"/>
    </xf>
    <xf numFmtId="0" fontId="11" fillId="14" borderId="65" xfId="1" applyFont="1" applyFill="1" applyBorder="1" applyAlignment="1">
      <alignment horizontal="center" vertical="center"/>
    </xf>
    <xf numFmtId="0" fontId="11" fillId="14" borderId="64" xfId="1" applyFont="1" applyFill="1" applyBorder="1" applyAlignment="1">
      <alignment horizontal="center" vertical="center"/>
    </xf>
    <xf numFmtId="0" fontId="11" fillId="14" borderId="80" xfId="1" applyFont="1" applyFill="1" applyBorder="1" applyAlignment="1">
      <alignment horizontal="center" vertical="center"/>
    </xf>
    <xf numFmtId="0" fontId="0" fillId="31" borderId="11" xfId="0" applyFill="1" applyBorder="1" applyAlignment="1">
      <alignment horizontal="center"/>
    </xf>
    <xf numFmtId="0" fontId="0" fillId="31" borderId="13" xfId="0" applyFill="1" applyBorder="1" applyAlignment="1">
      <alignment horizontal="center"/>
    </xf>
    <xf numFmtId="0" fontId="36" fillId="30" borderId="13" xfId="0" applyFont="1" applyFill="1" applyBorder="1" applyAlignment="1">
      <alignment horizontal="center" vertical="center"/>
    </xf>
    <xf numFmtId="0" fontId="36" fillId="30" borderId="14" xfId="0" applyFont="1" applyFill="1" applyBorder="1" applyAlignment="1">
      <alignment horizontal="center" vertical="center"/>
    </xf>
    <xf numFmtId="0" fontId="27" fillId="27" borderId="45" xfId="0" applyFont="1" applyFill="1" applyBorder="1" applyAlignment="1">
      <alignment horizontal="center" vertical="center"/>
    </xf>
    <xf numFmtId="0" fontId="27" fillId="27" borderId="38" xfId="0" applyFont="1" applyFill="1" applyBorder="1" applyAlignment="1">
      <alignment horizontal="center" vertical="center"/>
    </xf>
    <xf numFmtId="0" fontId="36" fillId="30" borderId="27" xfId="0" applyFont="1" applyFill="1" applyBorder="1" applyAlignment="1">
      <alignment horizontal="center" vertical="center"/>
    </xf>
    <xf numFmtId="0" fontId="36" fillId="30" borderId="41" xfId="0" applyFont="1" applyFill="1" applyBorder="1" applyAlignment="1">
      <alignment horizontal="center" vertical="center"/>
    </xf>
    <xf numFmtId="0" fontId="36" fillId="30" borderId="56" xfId="0" applyFont="1" applyFill="1" applyBorder="1" applyAlignment="1">
      <alignment horizontal="center" vertical="center"/>
    </xf>
    <xf numFmtId="0" fontId="22" fillId="5" borderId="45" xfId="1" applyFont="1" applyFill="1" applyBorder="1" applyAlignment="1">
      <alignment horizontal="center" vertical="center"/>
    </xf>
    <xf numFmtId="0" fontId="22" fillId="5" borderId="56" xfId="1" applyFont="1" applyFill="1" applyBorder="1" applyAlignment="1">
      <alignment horizontal="center" vertical="center"/>
    </xf>
    <xf numFmtId="0" fontId="22" fillId="5" borderId="1" xfId="0" applyFont="1" applyFill="1" applyBorder="1" applyAlignment="1">
      <alignment horizontal="center" vertical="center"/>
    </xf>
    <xf numFmtId="0" fontId="22" fillId="5" borderId="40" xfId="0" applyFont="1" applyFill="1" applyBorder="1" applyAlignment="1">
      <alignment horizontal="center" vertical="center"/>
    </xf>
    <xf numFmtId="0" fontId="22" fillId="5" borderId="5" xfId="1" applyFont="1" applyFill="1" applyBorder="1" applyAlignment="1">
      <alignment horizontal="center" vertical="center"/>
    </xf>
    <xf numFmtId="0" fontId="22" fillId="5" borderId="6" xfId="1" applyFont="1" applyFill="1" applyBorder="1" applyAlignment="1">
      <alignment horizontal="center" vertical="center"/>
    </xf>
    <xf numFmtId="0" fontId="22" fillId="5" borderId="47" xfId="1" applyFont="1" applyFill="1" applyBorder="1" applyAlignment="1">
      <alignment horizontal="center" vertical="center"/>
    </xf>
    <xf numFmtId="0" fontId="22" fillId="5" borderId="55" xfId="1" applyFont="1" applyFill="1" applyBorder="1" applyAlignment="1">
      <alignment horizontal="center" vertical="center"/>
    </xf>
    <xf numFmtId="0" fontId="42" fillId="12" borderId="0" xfId="0" applyFont="1" applyFill="1" applyAlignment="1">
      <alignment horizontal="center" vertical="center"/>
    </xf>
    <xf numFmtId="0" fontId="17" fillId="5" borderId="4" xfId="0" applyFont="1" applyFill="1" applyBorder="1" applyAlignment="1">
      <alignment horizontal="center" vertical="center" wrapText="1"/>
    </xf>
    <xf numFmtId="0" fontId="17" fillId="5" borderId="58"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5" fillId="12" borderId="0" xfId="0" applyFont="1" applyFill="1" applyAlignment="1">
      <alignment horizontal="center" vertical="center" wrapText="1"/>
    </xf>
    <xf numFmtId="0" fontId="5" fillId="12" borderId="33" xfId="0" applyFont="1" applyFill="1" applyBorder="1" applyAlignment="1">
      <alignment horizontal="center" vertical="center"/>
    </xf>
    <xf numFmtId="0" fontId="5" fillId="12" borderId="0" xfId="0" applyFont="1" applyFill="1" applyAlignment="1">
      <alignment horizontal="center" vertical="center"/>
    </xf>
    <xf numFmtId="0" fontId="2" fillId="12" borderId="33" xfId="0" applyFont="1" applyFill="1" applyBorder="1" applyAlignment="1">
      <alignment horizontal="center" vertical="center" wrapText="1"/>
    </xf>
    <xf numFmtId="0" fontId="2" fillId="12" borderId="0" xfId="0" applyFont="1" applyFill="1" applyAlignment="1">
      <alignment horizontal="center" vertical="center" wrapText="1"/>
    </xf>
    <xf numFmtId="0" fontId="22" fillId="23" borderId="13" xfId="0" applyFont="1" applyFill="1" applyBorder="1" applyAlignment="1">
      <alignment horizontal="center" vertical="center"/>
    </xf>
    <xf numFmtId="0" fontId="22" fillId="23" borderId="14" xfId="0" applyFont="1" applyFill="1" applyBorder="1" applyAlignment="1">
      <alignment horizontal="center" vertical="center"/>
    </xf>
    <xf numFmtId="0" fontId="22" fillId="23" borderId="39" xfId="0" applyFont="1" applyFill="1" applyBorder="1" applyAlignment="1">
      <alignment horizontal="center" vertical="center"/>
    </xf>
    <xf numFmtId="0" fontId="22" fillId="23" borderId="26" xfId="0" applyFont="1" applyFill="1" applyBorder="1" applyAlignment="1">
      <alignment horizontal="center" vertical="center"/>
    </xf>
    <xf numFmtId="0" fontId="19" fillId="0" borderId="27" xfId="0" applyFont="1" applyBorder="1" applyAlignment="1" applyProtection="1">
      <alignment horizontal="center" vertical="center" wrapText="1"/>
      <protection locked="0"/>
    </xf>
    <xf numFmtId="0" fontId="19" fillId="0" borderId="56" xfId="0" applyFont="1" applyBorder="1" applyAlignment="1" applyProtection="1">
      <alignment horizontal="center" vertical="center" wrapText="1"/>
      <protection locked="0"/>
    </xf>
    <xf numFmtId="0" fontId="19" fillId="0" borderId="61" xfId="0" applyFont="1" applyBorder="1" applyAlignment="1" applyProtection="1">
      <alignment horizontal="center" vertical="center" wrapText="1"/>
      <protection locked="0"/>
    </xf>
    <xf numFmtId="0" fontId="19" fillId="0" borderId="55" xfId="0" applyFont="1" applyBorder="1" applyAlignment="1" applyProtection="1">
      <alignment horizontal="center" vertical="center" wrapText="1"/>
      <protection locked="0"/>
    </xf>
    <xf numFmtId="0" fontId="22" fillId="5" borderId="11" xfId="0" applyFont="1" applyFill="1" applyBorder="1" applyAlignment="1">
      <alignment horizontal="center"/>
    </xf>
    <xf numFmtId="0" fontId="22" fillId="5" borderId="13" xfId="0" applyFont="1" applyFill="1" applyBorder="1" applyAlignment="1">
      <alignment horizontal="center"/>
    </xf>
    <xf numFmtId="0" fontId="12" fillId="23" borderId="25" xfId="0" applyFont="1" applyFill="1" applyBorder="1" applyAlignment="1">
      <alignment horizontal="center" vertical="center"/>
    </xf>
    <xf numFmtId="0" fontId="12" fillId="23" borderId="11" xfId="0" applyFont="1" applyFill="1" applyBorder="1" applyAlignment="1">
      <alignment horizontal="center" vertical="center"/>
    </xf>
    <xf numFmtId="0" fontId="22" fillId="5" borderId="25" xfId="0" applyFont="1" applyFill="1" applyBorder="1" applyAlignment="1">
      <alignment horizontal="center"/>
    </xf>
    <xf numFmtId="0" fontId="22" fillId="5" borderId="39" xfId="0" applyFont="1" applyFill="1" applyBorder="1" applyAlignment="1">
      <alignment horizontal="center"/>
    </xf>
    <xf numFmtId="0" fontId="36" fillId="0" borderId="0" xfId="0" applyFont="1" applyAlignment="1">
      <alignment horizontal="center" vertical="center" wrapText="1"/>
    </xf>
    <xf numFmtId="0" fontId="28" fillId="12" borderId="33" xfId="0" applyFont="1" applyFill="1" applyBorder="1" applyAlignment="1">
      <alignment horizontal="center" vertical="center"/>
    </xf>
    <xf numFmtId="0" fontId="12" fillId="23" borderId="20" xfId="0" applyFont="1" applyFill="1" applyBorder="1" applyAlignment="1">
      <alignment horizontal="center" vertical="center"/>
    </xf>
    <xf numFmtId="0" fontId="12" fillId="23" borderId="15" xfId="0" applyFont="1" applyFill="1" applyBorder="1" applyAlignment="1">
      <alignment horizontal="center" vertical="center"/>
    </xf>
    <xf numFmtId="0" fontId="12" fillId="5" borderId="30"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78" xfId="0" applyFont="1" applyFill="1" applyBorder="1" applyAlignment="1">
      <alignment horizontal="center" vertical="center" wrapText="1"/>
    </xf>
    <xf numFmtId="0" fontId="12" fillId="5" borderId="76"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5" xfId="0" applyFont="1" applyFill="1" applyBorder="1" applyAlignment="1">
      <alignment horizontal="center" vertical="center"/>
    </xf>
    <xf numFmtId="0" fontId="12" fillId="5" borderId="63"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47"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2" fillId="23" borderId="45" xfId="0" applyFont="1" applyFill="1" applyBorder="1" applyAlignment="1">
      <alignment horizontal="center" vertical="center"/>
    </xf>
    <xf numFmtId="0" fontId="12" fillId="23" borderId="56" xfId="0" applyFont="1" applyFill="1" applyBorder="1" applyAlignment="1">
      <alignment horizontal="center" vertical="center"/>
    </xf>
    <xf numFmtId="1" fontId="0" fillId="0" borderId="27" xfId="0" applyNumberFormat="1" applyBorder="1" applyAlignment="1" applyProtection="1">
      <alignment horizontal="center" vertical="center" wrapText="1"/>
      <protection locked="0"/>
    </xf>
    <xf numFmtId="1" fontId="0" fillId="0" borderId="38" xfId="0" applyNumberFormat="1" applyBorder="1" applyAlignment="1" applyProtection="1">
      <alignment horizontal="center" vertical="center" wrapText="1"/>
      <protection locked="0"/>
    </xf>
    <xf numFmtId="1" fontId="0" fillId="2" borderId="45" xfId="0" applyNumberFormat="1" applyFill="1" applyBorder="1" applyAlignment="1">
      <alignment horizontal="center" vertical="center" wrapText="1"/>
    </xf>
    <xf numFmtId="1" fontId="0" fillId="2" borderId="41" xfId="0" applyNumberFormat="1" applyFill="1" applyBorder="1" applyAlignment="1">
      <alignment horizontal="center" vertical="center" wrapText="1"/>
    </xf>
    <xf numFmtId="1" fontId="0" fillId="2" borderId="38" xfId="0" applyNumberFormat="1" applyFill="1" applyBorder="1" applyAlignment="1">
      <alignment horizontal="center" vertical="center" wrapText="1"/>
    </xf>
    <xf numFmtId="1" fontId="0" fillId="2" borderId="27" xfId="0" applyNumberFormat="1" applyFill="1" applyBorder="1" applyAlignment="1">
      <alignment horizontal="center" vertical="center" wrapText="1"/>
    </xf>
    <xf numFmtId="0" fontId="12" fillId="5" borderId="55" xfId="0" applyFont="1" applyFill="1" applyBorder="1" applyAlignment="1">
      <alignment horizontal="center" vertical="center" wrapText="1"/>
    </xf>
    <xf numFmtId="1" fontId="0" fillId="0" borderId="62" xfId="0" applyNumberFormat="1" applyBorder="1" applyAlignment="1" applyProtection="1">
      <alignment horizontal="center" vertical="center"/>
      <protection locked="0"/>
    </xf>
    <xf numFmtId="1" fontId="0" fillId="0" borderId="6" xfId="0" applyNumberFormat="1" applyBorder="1" applyAlignment="1" applyProtection="1">
      <alignment horizontal="center" vertical="center"/>
      <protection locked="0"/>
    </xf>
    <xf numFmtId="1" fontId="0" fillId="0" borderId="27" xfId="0" applyNumberFormat="1" applyBorder="1" applyAlignment="1" applyProtection="1">
      <alignment horizontal="center" vertical="center"/>
      <protection locked="0"/>
    </xf>
    <xf numFmtId="1" fontId="0" fillId="0" borderId="56" xfId="0" applyNumberFormat="1" applyBorder="1" applyAlignment="1" applyProtection="1">
      <alignment horizontal="center" vertical="center"/>
      <protection locked="0"/>
    </xf>
    <xf numFmtId="0" fontId="14" fillId="5" borderId="2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56"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14" fillId="5" borderId="4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165" fontId="0" fillId="25" borderId="24" xfId="0" applyNumberFormat="1" applyFill="1" applyBorder="1" applyAlignment="1">
      <alignment horizontal="center" vertical="center" wrapText="1"/>
    </xf>
    <xf numFmtId="165" fontId="0" fillId="25" borderId="19" xfId="0" applyNumberForma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4" fillId="17" borderId="45" xfId="0" applyFont="1" applyFill="1" applyBorder="1" applyAlignment="1" applyProtection="1">
      <alignment horizontal="center" vertical="center"/>
      <protection locked="0"/>
    </xf>
    <xf numFmtId="0" fontId="4" fillId="17" borderId="56" xfId="0" applyFont="1" applyFill="1" applyBorder="1" applyAlignment="1" applyProtection="1">
      <alignment horizontal="center" vertical="center"/>
      <protection locked="0"/>
    </xf>
    <xf numFmtId="0" fontId="22" fillId="23" borderId="25" xfId="0" applyFont="1" applyFill="1" applyBorder="1" applyAlignment="1">
      <alignment horizontal="center"/>
    </xf>
    <xf numFmtId="0" fontId="22" fillId="23" borderId="26" xfId="0" applyFont="1" applyFill="1" applyBorder="1" applyAlignment="1">
      <alignment horizontal="center"/>
    </xf>
    <xf numFmtId="0" fontId="22" fillId="23" borderId="11" xfId="0" applyFont="1" applyFill="1" applyBorder="1" applyAlignment="1">
      <alignment horizontal="center"/>
    </xf>
    <xf numFmtId="0" fontId="22" fillId="23" borderId="14" xfId="0" applyFont="1" applyFill="1" applyBorder="1" applyAlignment="1">
      <alignment horizontal="center"/>
    </xf>
    <xf numFmtId="0" fontId="12" fillId="5" borderId="25"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4" fillId="7" borderId="44" xfId="0" applyFont="1" applyFill="1" applyBorder="1" applyAlignment="1">
      <alignment horizontal="center" vertical="center"/>
    </xf>
    <xf numFmtId="0" fontId="4" fillId="7" borderId="3" xfId="0" applyFont="1" applyFill="1" applyBorder="1" applyAlignment="1">
      <alignment horizontal="center" vertical="center"/>
    </xf>
    <xf numFmtId="0" fontId="0" fillId="0" borderId="21"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4" fillId="0" borderId="61"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12" fillId="5" borderId="39"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28" borderId="13" xfId="0" applyFont="1" applyFill="1" applyBorder="1" applyAlignment="1">
      <alignment horizontal="center" vertical="center" wrapText="1"/>
    </xf>
    <xf numFmtId="0" fontId="12" fillId="28" borderId="14" xfId="0" applyFont="1" applyFill="1" applyBorder="1" applyAlignment="1">
      <alignment horizontal="center" vertical="center" wrapText="1"/>
    </xf>
    <xf numFmtId="0" fontId="4" fillId="17" borderId="5" xfId="0" applyFont="1" applyFill="1" applyBorder="1" applyAlignment="1" applyProtection="1">
      <alignment horizontal="center" vertical="center"/>
      <protection locked="0"/>
    </xf>
    <xf numFmtId="0" fontId="4" fillId="17" borderId="6" xfId="0" applyFont="1" applyFill="1" applyBorder="1" applyAlignment="1" applyProtection="1">
      <alignment horizontal="center" vertical="center"/>
      <protection locked="0"/>
    </xf>
    <xf numFmtId="2" fontId="0" fillId="0" borderId="21" xfId="0" applyNumberFormat="1" applyBorder="1" applyAlignment="1" applyProtection="1">
      <alignment horizontal="center" vertical="center" wrapText="1"/>
      <protection locked="0"/>
    </xf>
    <xf numFmtId="2" fontId="0" fillId="0" borderId="17" xfId="0" applyNumberFormat="1" applyBorder="1" applyAlignment="1" applyProtection="1">
      <alignment horizontal="center" vertical="center" wrapText="1"/>
      <protection locked="0"/>
    </xf>
    <xf numFmtId="2" fontId="0" fillId="0" borderId="46" xfId="0" applyNumberFormat="1" applyBorder="1" applyAlignment="1" applyProtection="1">
      <alignment horizontal="center" vertical="center" wrapText="1"/>
      <protection locked="0"/>
    </xf>
    <xf numFmtId="0" fontId="14" fillId="5" borderId="4"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36" xfId="0" applyFont="1" applyFill="1" applyBorder="1" applyAlignment="1">
      <alignment horizontal="center" vertical="center" wrapText="1"/>
    </xf>
    <xf numFmtId="165" fontId="0" fillId="25" borderId="23" xfId="0" applyNumberFormat="1" applyFill="1" applyBorder="1" applyAlignment="1">
      <alignment horizontal="center" vertical="center" wrapText="1"/>
    </xf>
    <xf numFmtId="165" fontId="0" fillId="25" borderId="68" xfId="0" applyNumberFormat="1" applyFill="1" applyBorder="1" applyAlignment="1">
      <alignment horizontal="center" vertical="center" wrapText="1"/>
    </xf>
    <xf numFmtId="2" fontId="0" fillId="25" borderId="1" xfId="0" applyNumberFormat="1" applyFill="1" applyBorder="1" applyAlignment="1">
      <alignment horizontal="center" vertical="center" wrapText="1"/>
    </xf>
    <xf numFmtId="2" fontId="0" fillId="25" borderId="2" xfId="0" applyNumberFormat="1" applyFill="1" applyBorder="1" applyAlignment="1">
      <alignment horizontal="center" vertical="center" wrapText="1"/>
    </xf>
    <xf numFmtId="2" fontId="0" fillId="25" borderId="3" xfId="0" applyNumberFormat="1" applyFill="1" applyBorder="1" applyAlignment="1">
      <alignment horizontal="center" vertical="center" wrapText="1"/>
    </xf>
    <xf numFmtId="165" fontId="0" fillId="25" borderId="1" xfId="0" applyNumberFormat="1" applyFill="1" applyBorder="1" applyAlignment="1">
      <alignment horizontal="center" vertical="center" wrapText="1"/>
    </xf>
    <xf numFmtId="165" fontId="0" fillId="25" borderId="2" xfId="0" applyNumberFormat="1" applyFill="1" applyBorder="1" applyAlignment="1">
      <alignment horizontal="center" vertical="center" wrapText="1"/>
    </xf>
    <xf numFmtId="165" fontId="0" fillId="25" borderId="3" xfId="0" applyNumberFormat="1" applyFill="1" applyBorder="1" applyAlignment="1">
      <alignment horizontal="center" vertical="center" wrapText="1"/>
    </xf>
    <xf numFmtId="0" fontId="10" fillId="3" borderId="0" xfId="0" applyFont="1" applyFill="1" applyAlignment="1">
      <alignment horizontal="center" vertical="center" textRotation="90"/>
    </xf>
    <xf numFmtId="0" fontId="17" fillId="5" borderId="25" xfId="0" applyFont="1" applyFill="1" applyBorder="1" applyAlignment="1">
      <alignment horizontal="center" vertical="center" wrapText="1"/>
    </xf>
    <xf numFmtId="0" fontId="17" fillId="5" borderId="39" xfId="0" applyFont="1" applyFill="1" applyBorder="1" applyAlignment="1">
      <alignment horizontal="center" vertical="center" wrapText="1"/>
    </xf>
    <xf numFmtId="0" fontId="17" fillId="23" borderId="59" xfId="0" applyFont="1" applyFill="1" applyBorder="1" applyAlignment="1">
      <alignment horizontal="center" vertical="center" wrapText="1"/>
    </xf>
    <xf numFmtId="0" fontId="17" fillId="23" borderId="64" xfId="0" applyFont="1" applyFill="1" applyBorder="1" applyAlignment="1">
      <alignment horizontal="center" vertical="center" wrapText="1"/>
    </xf>
    <xf numFmtId="0" fontId="17" fillId="23" borderId="60" xfId="0" applyFont="1" applyFill="1" applyBorder="1" applyAlignment="1">
      <alignment horizontal="center" vertical="center" wrapText="1"/>
    </xf>
    <xf numFmtId="0" fontId="17" fillId="23" borderId="21" xfId="0" applyFont="1" applyFill="1" applyBorder="1" applyAlignment="1">
      <alignment horizontal="center" vertical="center" wrapText="1"/>
    </xf>
    <xf numFmtId="0" fontId="17" fillId="23" borderId="17" xfId="0" applyFont="1" applyFill="1" applyBorder="1" applyAlignment="1">
      <alignment horizontal="center" vertical="center" wrapText="1"/>
    </xf>
    <xf numFmtId="0" fontId="17" fillId="23" borderId="23" xfId="0" applyFont="1" applyFill="1" applyBorder="1" applyAlignment="1">
      <alignment horizontal="center" vertical="center" wrapText="1"/>
    </xf>
    <xf numFmtId="165" fontId="25" fillId="7" borderId="61" xfId="0" applyNumberFormat="1" applyFont="1" applyFill="1" applyBorder="1" applyAlignment="1">
      <alignment horizontal="center" vertical="center" wrapText="1"/>
    </xf>
    <xf numFmtId="165" fontId="25" fillId="7" borderId="42" xfId="0" applyNumberFormat="1" applyFont="1" applyFill="1" applyBorder="1" applyAlignment="1">
      <alignment horizontal="center" vertical="center" wrapText="1"/>
    </xf>
    <xf numFmtId="165" fontId="25" fillId="7" borderId="12" xfId="0" applyNumberFormat="1" applyFont="1" applyFill="1" applyBorder="1" applyAlignment="1">
      <alignment horizontal="center" vertical="center" wrapText="1"/>
    </xf>
    <xf numFmtId="0" fontId="17" fillId="23" borderId="45" xfId="0" applyFont="1" applyFill="1" applyBorder="1" applyAlignment="1">
      <alignment horizontal="center" vertical="center" wrapText="1"/>
    </xf>
    <xf numFmtId="0" fontId="17" fillId="23" borderId="41" xfId="0" applyFont="1" applyFill="1" applyBorder="1" applyAlignment="1">
      <alignment horizontal="center" vertical="center" wrapText="1"/>
    </xf>
    <xf numFmtId="0" fontId="17" fillId="23" borderId="38" xfId="0" applyFont="1" applyFill="1" applyBorder="1" applyAlignment="1">
      <alignment horizontal="center" vertical="center" wrapText="1"/>
    </xf>
    <xf numFmtId="0" fontId="17" fillId="23" borderId="47" xfId="0" applyFont="1" applyFill="1" applyBorder="1" applyAlignment="1">
      <alignment horizontal="center" vertical="center" wrapText="1"/>
    </xf>
    <xf numFmtId="0" fontId="17" fillId="23" borderId="42" xfId="0" applyFont="1" applyFill="1" applyBorder="1" applyAlignment="1">
      <alignment horizontal="center" vertical="center" wrapText="1"/>
    </xf>
    <xf numFmtId="0" fontId="17" fillId="23" borderId="12" xfId="0" applyFont="1" applyFill="1" applyBorder="1" applyAlignment="1">
      <alignment horizontal="center" vertical="center" wrapText="1"/>
    </xf>
    <xf numFmtId="0" fontId="17" fillId="23" borderId="33" xfId="0" applyFont="1" applyFill="1" applyBorder="1" applyAlignment="1">
      <alignment horizontal="center" vertical="center" wrapText="1"/>
    </xf>
    <xf numFmtId="0" fontId="17" fillId="23" borderId="0" xfId="0" applyFont="1" applyFill="1" applyAlignment="1">
      <alignment horizontal="center" vertical="center" wrapText="1"/>
    </xf>
    <xf numFmtId="0" fontId="22" fillId="5" borderId="5"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7" xfId="0" applyFont="1" applyFill="1" applyBorder="1" applyAlignment="1">
      <alignment horizontal="center" vertical="center" wrapText="1"/>
    </xf>
    <xf numFmtId="0" fontId="17" fillId="23" borderId="34" xfId="0" applyFont="1" applyFill="1" applyBorder="1" applyAlignment="1">
      <alignment horizontal="center" vertical="center" wrapText="1"/>
    </xf>
    <xf numFmtId="0" fontId="17" fillId="23" borderId="35" xfId="0" applyFont="1" applyFill="1" applyBorder="1" applyAlignment="1">
      <alignment horizontal="center" vertical="center" wrapText="1"/>
    </xf>
    <xf numFmtId="0" fontId="17" fillId="23" borderId="57"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6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0" fillId="0" borderId="30" xfId="0" applyBorder="1" applyAlignment="1">
      <alignment horizontal="left" vertical="center" wrapText="1"/>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0" xfId="0" applyAlignment="1">
      <alignment horizontal="left" vertical="center"/>
    </xf>
    <xf numFmtId="0" fontId="0" fillId="0" borderId="43"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7" borderId="1" xfId="0" applyFill="1" applyBorder="1" applyAlignment="1" applyProtection="1">
      <alignment horizontal="center" vertical="center" wrapText="1"/>
      <protection locked="0"/>
    </xf>
    <xf numFmtId="0" fontId="0" fillId="7" borderId="2" xfId="0" applyFill="1" applyBorder="1" applyAlignment="1" applyProtection="1">
      <alignment horizontal="center" vertical="center" wrapText="1"/>
      <protection locked="0"/>
    </xf>
    <xf numFmtId="0" fontId="0" fillId="7" borderId="3" xfId="0" applyFill="1" applyBorder="1" applyAlignment="1" applyProtection="1">
      <alignment horizontal="center" vertical="center" wrapText="1"/>
      <protection locked="0"/>
    </xf>
    <xf numFmtId="0" fontId="12" fillId="5" borderId="31"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28" fillId="18" borderId="0" xfId="0" applyFont="1" applyFill="1" applyAlignment="1">
      <alignment horizontal="center" vertical="center" wrapText="1"/>
    </xf>
    <xf numFmtId="0" fontId="14" fillId="5" borderId="28"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0" fillId="2" borderId="28" xfId="0" applyFill="1" applyBorder="1" applyAlignment="1">
      <alignment horizontal="center" vertical="center" wrapText="1"/>
    </xf>
    <xf numFmtId="0" fontId="0" fillId="2" borderId="18" xfId="0" applyFill="1" applyBorder="1" applyAlignment="1">
      <alignment horizontal="center" vertical="center" wrapText="1"/>
    </xf>
    <xf numFmtId="0" fontId="3" fillId="0" borderId="39" xfId="0" applyFont="1" applyBorder="1" applyAlignment="1">
      <alignment horizontal="center"/>
    </xf>
    <xf numFmtId="0" fontId="3" fillId="0" borderId="26" xfId="0" applyFont="1" applyBorder="1" applyAlignment="1">
      <alignment horizontal="center"/>
    </xf>
    <xf numFmtId="0" fontId="3" fillId="0" borderId="18" xfId="0" applyFont="1" applyBorder="1" applyAlignment="1">
      <alignment horizontal="center"/>
    </xf>
    <xf numFmtId="0" fontId="3" fillId="0" borderId="29" xfId="0" applyFont="1" applyBorder="1" applyAlignment="1">
      <alignment horizontal="center"/>
    </xf>
    <xf numFmtId="2" fontId="0" fillId="7" borderId="1" xfId="0" applyNumberFormat="1" applyFill="1" applyBorder="1" applyAlignment="1">
      <alignment horizontal="center" vertical="center" wrapText="1"/>
    </xf>
    <xf numFmtId="2" fontId="0" fillId="7" borderId="2" xfId="0" applyNumberFormat="1" applyFill="1" applyBorder="1" applyAlignment="1">
      <alignment horizontal="center" vertical="center" wrapText="1"/>
    </xf>
    <xf numFmtId="2" fontId="0" fillId="7" borderId="3" xfId="0" applyNumberFormat="1" applyFill="1" applyBorder="1" applyAlignment="1">
      <alignment horizontal="center" vertical="center" wrapText="1"/>
    </xf>
    <xf numFmtId="0" fontId="12" fillId="5" borderId="25" xfId="0" applyFont="1" applyFill="1" applyBorder="1" applyAlignment="1">
      <alignment horizontal="center" vertical="center"/>
    </xf>
    <xf numFmtId="0" fontId="12" fillId="5" borderId="39" xfId="0" applyFont="1" applyFill="1" applyBorder="1" applyAlignment="1">
      <alignment horizontal="center" vertical="center"/>
    </xf>
    <xf numFmtId="0" fontId="12" fillId="5" borderId="26" xfId="0" applyFont="1" applyFill="1" applyBorder="1" applyAlignment="1">
      <alignment horizontal="center" vertical="center"/>
    </xf>
    <xf numFmtId="0" fontId="14" fillId="5" borderId="67" xfId="0" applyFont="1" applyFill="1" applyBorder="1" applyAlignment="1">
      <alignment horizontal="center" vertical="center" wrapText="1"/>
    </xf>
    <xf numFmtId="0" fontId="14" fillId="12" borderId="0" xfId="0" applyFont="1" applyFill="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xf>
    <xf numFmtId="0" fontId="5" fillId="0" borderId="42" xfId="0" applyFont="1" applyBorder="1" applyAlignment="1">
      <alignment horizontal="center" vertical="center"/>
    </xf>
    <xf numFmtId="0" fontId="5" fillId="0" borderId="55" xfId="0" applyFont="1" applyBorder="1" applyAlignment="1">
      <alignment horizontal="center" vertical="center"/>
    </xf>
    <xf numFmtId="0" fontId="5" fillId="0" borderId="63" xfId="0" applyFont="1" applyBorder="1" applyAlignment="1">
      <alignment horizontal="center" vertical="center"/>
    </xf>
    <xf numFmtId="0" fontId="5" fillId="0" borderId="6" xfId="0" applyFont="1" applyBorder="1" applyAlignment="1">
      <alignment horizontal="center" vertical="center"/>
    </xf>
    <xf numFmtId="0" fontId="10" fillId="3" borderId="0" xfId="0" applyFont="1" applyFill="1" applyAlignment="1">
      <alignment horizontal="center" vertical="center"/>
    </xf>
    <xf numFmtId="0" fontId="4" fillId="7" borderId="28" xfId="0" applyFont="1" applyFill="1" applyBorder="1" applyAlignment="1">
      <alignment horizontal="center" vertical="center"/>
    </xf>
    <xf numFmtId="0" fontId="4" fillId="7" borderId="29" xfId="0" applyFont="1" applyFill="1" applyBorder="1" applyAlignment="1">
      <alignment horizontal="center" vertical="center"/>
    </xf>
    <xf numFmtId="0" fontId="22" fillId="5" borderId="47" xfId="0" applyFont="1" applyFill="1" applyBorder="1" applyAlignment="1">
      <alignment horizontal="center" vertical="center" wrapText="1"/>
    </xf>
    <xf numFmtId="0" fontId="22" fillId="5" borderId="4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12" fillId="23" borderId="61" xfId="0" applyFont="1" applyFill="1" applyBorder="1" applyAlignment="1">
      <alignment horizontal="center" vertical="center"/>
    </xf>
    <xf numFmtId="0" fontId="12" fillId="23" borderId="5" xfId="0" applyFont="1" applyFill="1" applyBorder="1" applyAlignment="1">
      <alignment horizontal="center" vertical="center"/>
    </xf>
    <xf numFmtId="0" fontId="12" fillId="23" borderId="6" xfId="0" applyFont="1" applyFill="1" applyBorder="1" applyAlignment="1">
      <alignment horizontal="center" vertical="center"/>
    </xf>
    <xf numFmtId="1" fontId="2" fillId="25" borderId="61" xfId="0" applyNumberFormat="1" applyFont="1" applyFill="1" applyBorder="1" applyAlignment="1">
      <alignment horizontal="center" vertical="center" wrapText="1"/>
    </xf>
    <xf numFmtId="1" fontId="2" fillId="25" borderId="12" xfId="0" applyNumberFormat="1" applyFont="1" applyFill="1" applyBorder="1" applyAlignment="1">
      <alignment horizontal="center" vertical="center" wrapText="1"/>
    </xf>
    <xf numFmtId="0" fontId="4" fillId="7" borderId="1" xfId="0" applyFont="1" applyFill="1" applyBorder="1" applyAlignment="1">
      <alignment horizontal="center" vertical="center"/>
    </xf>
    <xf numFmtId="0" fontId="14" fillId="5" borderId="63" xfId="0" applyFont="1" applyFill="1" applyBorder="1" applyAlignment="1">
      <alignment horizontal="center" vertical="center" wrapText="1"/>
    </xf>
    <xf numFmtId="165" fontId="0" fillId="25" borderId="40" xfId="0" applyNumberFormat="1" applyFill="1" applyBorder="1" applyAlignment="1">
      <alignment horizontal="center" vertical="center" wrapText="1"/>
    </xf>
    <xf numFmtId="165" fontId="0" fillId="25" borderId="53" xfId="0" applyNumberFormat="1" applyFill="1" applyBorder="1" applyAlignment="1">
      <alignment horizontal="center" vertical="center" wrapText="1"/>
    </xf>
    <xf numFmtId="165" fontId="0" fillId="25" borderId="44" xfId="0" applyNumberFormat="1" applyFill="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1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1" fontId="2" fillId="25" borderId="13" xfId="0" applyNumberFormat="1" applyFont="1" applyFill="1" applyBorder="1" applyAlignment="1">
      <alignment horizontal="center" vertical="center" wrapText="1"/>
    </xf>
    <xf numFmtId="1" fontId="0" fillId="2" borderId="62" xfId="0" applyNumberFormat="1" applyFill="1" applyBorder="1" applyAlignment="1">
      <alignment horizontal="center" vertical="center" wrapText="1"/>
    </xf>
    <xf numFmtId="1" fontId="0" fillId="2" borderId="63" xfId="0" applyNumberFormat="1" applyFill="1" applyBorder="1" applyAlignment="1">
      <alignment horizontal="center" vertical="center" wrapText="1"/>
    </xf>
    <xf numFmtId="1" fontId="0" fillId="2" borderId="67" xfId="0" applyNumberFormat="1" applyFill="1" applyBorder="1" applyAlignment="1">
      <alignment horizontal="center" vertical="center" wrapText="1"/>
    </xf>
    <xf numFmtId="0" fontId="2" fillId="12" borderId="31" xfId="0" applyFont="1" applyFill="1" applyBorder="1" applyAlignment="1">
      <alignment horizontal="center" vertical="center"/>
    </xf>
    <xf numFmtId="0" fontId="12" fillId="5" borderId="4" xfId="0" applyFont="1" applyFill="1" applyBorder="1" applyAlignment="1">
      <alignment horizontal="center" vertical="center" wrapText="1"/>
    </xf>
    <xf numFmtId="0" fontId="12" fillId="5" borderId="10" xfId="0" applyFont="1" applyFill="1" applyBorder="1" applyAlignment="1">
      <alignment horizontal="center" vertical="center" wrapText="1"/>
    </xf>
    <xf numFmtId="1" fontId="0" fillId="2" borderId="5" xfId="0" applyNumberFormat="1" applyFill="1" applyBorder="1" applyAlignment="1">
      <alignment horizontal="center" vertical="center" wrapText="1"/>
    </xf>
    <xf numFmtId="165" fontId="0" fillId="25" borderId="69" xfId="0" applyNumberFormat="1" applyFill="1" applyBorder="1" applyAlignment="1">
      <alignment horizontal="center" vertical="center" wrapText="1"/>
    </xf>
    <xf numFmtId="165" fontId="0" fillId="25" borderId="77" xfId="0" applyNumberFormat="1" applyFill="1" applyBorder="1" applyAlignment="1">
      <alignment horizontal="center" vertical="center" wrapText="1"/>
    </xf>
    <xf numFmtId="1" fontId="0" fillId="0" borderId="62" xfId="0" applyNumberFormat="1" applyBorder="1" applyAlignment="1" applyProtection="1">
      <alignment horizontal="center" vertical="center" wrapText="1"/>
      <protection locked="0"/>
    </xf>
    <xf numFmtId="1" fontId="0" fillId="0" borderId="67" xfId="0" applyNumberFormat="1" applyBorder="1" applyAlignment="1" applyProtection="1">
      <alignment horizontal="center" vertical="center" wrapText="1"/>
      <protection locked="0"/>
    </xf>
    <xf numFmtId="0" fontId="4" fillId="7" borderId="11" xfId="0" applyFont="1" applyFill="1" applyBorder="1" applyAlignment="1">
      <alignment horizontal="center" vertical="center"/>
    </xf>
    <xf numFmtId="0" fontId="4" fillId="7" borderId="14" xfId="0" applyFont="1" applyFill="1" applyBorder="1" applyAlignment="1">
      <alignment horizontal="center" vertical="center"/>
    </xf>
    <xf numFmtId="0" fontId="0" fillId="2" borderId="11" xfId="0" applyFill="1" applyBorder="1" applyAlignment="1">
      <alignment horizontal="center" vertical="center" wrapText="1"/>
    </xf>
    <xf numFmtId="0" fontId="0" fillId="2" borderId="13" xfId="0" applyFill="1" applyBorder="1" applyAlignment="1">
      <alignment horizontal="center" vertical="center" wrapText="1"/>
    </xf>
    <xf numFmtId="1" fontId="2" fillId="25" borderId="55" xfId="0" applyNumberFormat="1" applyFont="1" applyFill="1" applyBorder="1" applyAlignment="1">
      <alignment horizontal="center" vertical="center" wrapText="1"/>
    </xf>
    <xf numFmtId="1" fontId="0" fillId="2" borderId="6" xfId="0" applyNumberFormat="1" applyFill="1" applyBorder="1" applyAlignment="1">
      <alignment horizontal="center" vertical="center" wrapText="1"/>
    </xf>
    <xf numFmtId="1" fontId="0" fillId="2" borderId="56" xfId="0" applyNumberFormat="1" applyFill="1" applyBorder="1" applyAlignment="1">
      <alignment horizontal="center" vertical="center" wrapText="1"/>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4" fillId="5" borderId="31" xfId="0" applyFont="1" applyFill="1" applyBorder="1" applyAlignment="1">
      <alignment horizontal="center" vertical="center" wrapText="1"/>
    </xf>
    <xf numFmtId="0" fontId="14" fillId="5" borderId="57"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22" fillId="23" borderId="28" xfId="0" applyFont="1" applyFill="1" applyBorder="1" applyAlignment="1">
      <alignment horizontal="center" vertical="center"/>
    </xf>
    <xf numFmtId="0" fontId="22" fillId="23" borderId="18" xfId="0" applyFont="1" applyFill="1" applyBorder="1" applyAlignment="1">
      <alignment horizontal="center" vertical="center"/>
    </xf>
    <xf numFmtId="0" fontId="22" fillId="23" borderId="11" xfId="0" applyFont="1" applyFill="1" applyBorder="1" applyAlignment="1">
      <alignment horizontal="center" vertical="center"/>
    </xf>
    <xf numFmtId="0" fontId="22" fillId="23" borderId="4" xfId="0" applyFont="1" applyFill="1" applyBorder="1" applyAlignment="1">
      <alignment horizontal="center" vertical="center" wrapText="1"/>
    </xf>
    <xf numFmtId="0" fontId="22" fillId="23" borderId="58" xfId="0" applyFont="1" applyFill="1" applyBorder="1" applyAlignment="1">
      <alignment horizontal="center" vertical="center" wrapText="1"/>
    </xf>
    <xf numFmtId="0" fontId="22" fillId="23" borderId="10" xfId="0" applyFont="1" applyFill="1" applyBorder="1" applyAlignment="1">
      <alignment horizontal="center" vertical="center" wrapText="1"/>
    </xf>
    <xf numFmtId="0" fontId="22" fillId="23" borderId="78" xfId="0" applyFont="1" applyFill="1" applyBorder="1" applyAlignment="1">
      <alignment horizontal="center" vertical="center"/>
    </xf>
    <xf numFmtId="0" fontId="22" fillId="23" borderId="72" xfId="0" applyFont="1" applyFill="1" applyBorder="1" applyAlignment="1">
      <alignment horizontal="center" vertical="center"/>
    </xf>
    <xf numFmtId="0" fontId="22" fillId="23" borderId="76" xfId="0" applyFont="1" applyFill="1" applyBorder="1" applyAlignment="1">
      <alignment horizontal="center" vertical="center"/>
    </xf>
    <xf numFmtId="0" fontId="22" fillId="23" borderId="25" xfId="0" applyFont="1" applyFill="1" applyBorder="1" applyAlignment="1">
      <alignment horizontal="center" vertical="center"/>
    </xf>
    <xf numFmtId="0" fontId="2" fillId="12" borderId="42" xfId="0" applyFont="1" applyFill="1" applyBorder="1" applyAlignment="1">
      <alignment horizontal="center"/>
    </xf>
    <xf numFmtId="0" fontId="2" fillId="12" borderId="55" xfId="0" applyFont="1" applyFill="1" applyBorder="1" applyAlignment="1">
      <alignment horizontal="center"/>
    </xf>
    <xf numFmtId="0" fontId="14" fillId="5" borderId="35" xfId="0" applyFont="1" applyFill="1" applyBorder="1" applyAlignment="1">
      <alignment horizontal="center" vertical="center" wrapText="1"/>
    </xf>
    <xf numFmtId="0" fontId="14" fillId="5" borderId="31" xfId="0" applyFont="1" applyFill="1" applyBorder="1" applyAlignment="1">
      <alignment horizontal="center" vertical="center"/>
    </xf>
    <xf numFmtId="165" fontId="0" fillId="25" borderId="34" xfId="0" applyNumberFormat="1" applyFill="1" applyBorder="1" applyAlignment="1">
      <alignment horizontal="center" vertical="center" wrapText="1"/>
    </xf>
    <xf numFmtId="165" fontId="0" fillId="25" borderId="35" xfId="0" applyNumberFormat="1" applyFill="1" applyBorder="1" applyAlignment="1">
      <alignment horizontal="center" vertical="center" wrapText="1"/>
    </xf>
    <xf numFmtId="165" fontId="0" fillId="25" borderId="36" xfId="0" applyNumberFormat="1" applyFill="1" applyBorder="1" applyAlignment="1">
      <alignment horizontal="center" vertical="center" wrapText="1"/>
    </xf>
    <xf numFmtId="0" fontId="4" fillId="7" borderId="20" xfId="0" applyFont="1" applyFill="1" applyBorder="1" applyAlignment="1">
      <alignment horizontal="center" vertical="center"/>
    </xf>
    <xf numFmtId="0" fontId="4" fillId="7" borderId="19" xfId="0" applyFont="1" applyFill="1" applyBorder="1" applyAlignment="1">
      <alignment horizontal="center" vertical="center"/>
    </xf>
    <xf numFmtId="165" fontId="0" fillId="25" borderId="46" xfId="0" applyNumberFormat="1" applyFill="1" applyBorder="1" applyAlignment="1">
      <alignment horizontal="center" vertical="center" wrapText="1"/>
    </xf>
    <xf numFmtId="0" fontId="14" fillId="5" borderId="62" xfId="0" applyFont="1" applyFill="1" applyBorder="1" applyAlignment="1">
      <alignment horizontal="center" vertical="center" wrapText="1"/>
    </xf>
    <xf numFmtId="0" fontId="0" fillId="0" borderId="45" xfId="0"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0" fillId="0" borderId="56" xfId="0" applyBorder="1" applyAlignment="1" applyProtection="1">
      <alignment horizontal="center" vertical="center" wrapText="1"/>
      <protection locked="0"/>
    </xf>
    <xf numFmtId="0" fontId="14" fillId="5" borderId="29"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4" fillId="0" borderId="39"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63"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4" fillId="17" borderId="45" xfId="0" applyFont="1" applyFill="1" applyBorder="1" applyAlignment="1" applyProtection="1">
      <alignment horizontal="center" vertical="center" wrapText="1"/>
      <protection locked="0"/>
    </xf>
    <xf numFmtId="0" fontId="4" fillId="17" borderId="56" xfId="0" applyFont="1" applyFill="1" applyBorder="1" applyAlignment="1" applyProtection="1">
      <alignment horizontal="center" vertical="center" wrapText="1"/>
      <protection locked="0"/>
    </xf>
    <xf numFmtId="165" fontId="0" fillId="25" borderId="45" xfId="0" applyNumberFormat="1" applyFill="1" applyBorder="1" applyAlignment="1">
      <alignment horizontal="center" vertical="center" wrapText="1"/>
    </xf>
    <xf numFmtId="165" fontId="0" fillId="25" borderId="41" xfId="0" applyNumberFormat="1" applyFill="1" applyBorder="1" applyAlignment="1">
      <alignment horizontal="center" vertical="center" wrapText="1"/>
    </xf>
    <xf numFmtId="165" fontId="0" fillId="25" borderId="56" xfId="0" applyNumberForma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3" fillId="0" borderId="54" xfId="0" applyFont="1" applyBorder="1" applyAlignment="1">
      <alignment horizontal="center"/>
    </xf>
    <xf numFmtId="0" fontId="3" fillId="0" borderId="16" xfId="0" applyFont="1" applyBorder="1" applyAlignment="1">
      <alignment horizontal="center"/>
    </xf>
    <xf numFmtId="0" fontId="4" fillId="17" borderId="5" xfId="0" applyFont="1" applyFill="1" applyBorder="1" applyAlignment="1" applyProtection="1">
      <alignment horizontal="center" vertical="center" wrapText="1"/>
      <protection locked="0"/>
    </xf>
    <xf numFmtId="0" fontId="4" fillId="17" borderId="6" xfId="0" applyFont="1" applyFill="1" applyBorder="1" applyAlignment="1" applyProtection="1">
      <alignment horizontal="center" vertical="center" wrapText="1"/>
      <protection locked="0"/>
    </xf>
    <xf numFmtId="165" fontId="0" fillId="25" borderId="25" xfId="0" applyNumberFormat="1" applyFill="1" applyBorder="1" applyAlignment="1">
      <alignment horizontal="center" vertical="center" wrapText="1"/>
    </xf>
    <xf numFmtId="165" fontId="0" fillId="25" borderId="39" xfId="0" applyNumberFormat="1" applyFill="1" applyBorder="1" applyAlignment="1">
      <alignment horizontal="center" vertical="center" wrapText="1"/>
    </xf>
    <xf numFmtId="165" fontId="0" fillId="25" borderId="26" xfId="0" applyNumberFormat="1" applyFill="1" applyBorder="1" applyAlignment="1">
      <alignment horizontal="center" vertical="center" wrapText="1"/>
    </xf>
    <xf numFmtId="0" fontId="4" fillId="17" borderId="47" xfId="0" applyFont="1" applyFill="1" applyBorder="1" applyAlignment="1" applyProtection="1">
      <alignment horizontal="center" vertical="center" wrapText="1"/>
      <protection locked="0"/>
    </xf>
    <xf numFmtId="0" fontId="4" fillId="17" borderId="55" xfId="0" applyFont="1" applyFill="1" applyBorder="1" applyAlignment="1" applyProtection="1">
      <alignment horizontal="center" vertical="center" wrapText="1"/>
      <protection locked="0"/>
    </xf>
    <xf numFmtId="2" fontId="0" fillId="0" borderId="33" xfId="0" applyNumberFormat="1" applyBorder="1" applyAlignment="1" applyProtection="1">
      <alignment horizontal="center" vertical="center" wrapText="1"/>
      <protection locked="0"/>
    </xf>
    <xf numFmtId="2" fontId="0" fillId="0" borderId="0" xfId="0" applyNumberFormat="1" applyAlignment="1" applyProtection="1">
      <alignment horizontal="center" vertical="center" wrapText="1"/>
      <protection locked="0"/>
    </xf>
    <xf numFmtId="165" fontId="0" fillId="25" borderId="47" xfId="0" applyNumberFormat="1" applyFill="1" applyBorder="1" applyAlignment="1">
      <alignment horizontal="center" vertical="center" wrapText="1"/>
    </xf>
    <xf numFmtId="165" fontId="0" fillId="25" borderId="42" xfId="0" applyNumberFormat="1" applyFill="1" applyBorder="1" applyAlignment="1">
      <alignment horizontal="center" vertical="center" wrapText="1"/>
    </xf>
    <xf numFmtId="165" fontId="0" fillId="25" borderId="55" xfId="0" applyNumberFormat="1" applyFill="1" applyBorder="1" applyAlignment="1">
      <alignment horizontal="center" vertical="center" wrapText="1"/>
    </xf>
    <xf numFmtId="0" fontId="1" fillId="12" borderId="0" xfId="0" applyFont="1" applyFill="1" applyAlignment="1">
      <alignment horizontal="center" wrapText="1"/>
    </xf>
    <xf numFmtId="0" fontId="4" fillId="7" borderId="25" xfId="0" applyFont="1" applyFill="1" applyBorder="1" applyAlignment="1">
      <alignment horizontal="center" vertical="center"/>
    </xf>
    <xf numFmtId="0" fontId="4" fillId="7" borderId="26" xfId="0" applyFont="1" applyFill="1" applyBorder="1" applyAlignment="1">
      <alignment horizontal="center" vertical="center"/>
    </xf>
    <xf numFmtId="165" fontId="0" fillId="25" borderId="37" xfId="0" applyNumberFormat="1" applyFill="1" applyBorder="1" applyAlignment="1">
      <alignment horizontal="center" vertical="center" wrapText="1"/>
    </xf>
    <xf numFmtId="0" fontId="14" fillId="5" borderId="12" xfId="0" applyFont="1" applyFill="1" applyBorder="1" applyAlignment="1">
      <alignment horizontal="center" vertical="center" wrapText="1"/>
    </xf>
    <xf numFmtId="165" fontId="0" fillId="25" borderId="62" xfId="0" applyNumberFormat="1" applyFill="1" applyBorder="1" applyAlignment="1">
      <alignment horizontal="center" vertical="center" wrapText="1"/>
    </xf>
    <xf numFmtId="165" fontId="0" fillId="25" borderId="6" xfId="0" applyNumberFormat="1" applyFill="1" applyBorder="1" applyAlignment="1">
      <alignment horizontal="center" vertical="center" wrapText="1"/>
    </xf>
    <xf numFmtId="0" fontId="22" fillId="5" borderId="1"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7" borderId="76" xfId="0" applyFont="1" applyFill="1" applyBorder="1" applyAlignment="1">
      <alignment horizontal="center" vertical="center"/>
    </xf>
    <xf numFmtId="0" fontId="4" fillId="7" borderId="77" xfId="0" applyFont="1" applyFill="1" applyBorder="1" applyAlignment="1">
      <alignment horizontal="center" vertical="center"/>
    </xf>
    <xf numFmtId="0" fontId="36" fillId="12" borderId="52" xfId="0" applyFont="1" applyFill="1" applyBorder="1" applyAlignment="1">
      <alignment horizontal="center" vertical="center"/>
    </xf>
    <xf numFmtId="0" fontId="36" fillId="12" borderId="71" xfId="0" applyFont="1" applyFill="1" applyBorder="1" applyAlignment="1">
      <alignment horizontal="center" vertical="center"/>
    </xf>
    <xf numFmtId="0" fontId="36" fillId="12" borderId="77" xfId="0" applyFont="1" applyFill="1" applyBorder="1" applyAlignment="1">
      <alignment horizontal="center" vertical="center"/>
    </xf>
    <xf numFmtId="0" fontId="14" fillId="28" borderId="18" xfId="0" applyFont="1" applyFill="1" applyBorder="1" applyAlignment="1">
      <alignment horizontal="center" vertical="center" wrapText="1"/>
    </xf>
    <xf numFmtId="0" fontId="12" fillId="28" borderId="4" xfId="0" applyFont="1" applyFill="1" applyBorder="1" applyAlignment="1">
      <alignment horizontal="center" vertical="center"/>
    </xf>
    <xf numFmtId="0" fontId="12" fillId="28" borderId="10" xfId="0" applyFont="1" applyFill="1" applyBorder="1" applyAlignment="1">
      <alignment horizontal="center" vertical="center"/>
    </xf>
    <xf numFmtId="0" fontId="22" fillId="23" borderId="39" xfId="0" applyFont="1" applyFill="1" applyBorder="1" applyAlignment="1">
      <alignment horizontal="center"/>
    </xf>
    <xf numFmtId="0" fontId="22" fillId="23" borderId="48" xfId="0" applyFont="1" applyFill="1" applyBorder="1" applyAlignment="1">
      <alignment horizontal="center" vertical="center"/>
    </xf>
    <xf numFmtId="0" fontId="22" fillId="23" borderId="49" xfId="0" applyFont="1" applyFill="1" applyBorder="1" applyAlignment="1">
      <alignment horizontal="center" vertical="center"/>
    </xf>
    <xf numFmtId="0" fontId="22" fillId="23" borderId="50" xfId="0" applyFont="1" applyFill="1" applyBorder="1" applyAlignment="1">
      <alignment horizontal="center" vertical="center"/>
    </xf>
    <xf numFmtId="0" fontId="12" fillId="5" borderId="33"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43" xfId="0" applyFont="1" applyFill="1" applyBorder="1" applyAlignment="1">
      <alignment horizontal="center" vertical="center" wrapText="1"/>
    </xf>
    <xf numFmtId="0" fontId="0" fillId="0" borderId="18" xfId="0" applyBorder="1" applyAlignment="1" applyProtection="1">
      <alignment horizontal="center" vertical="center" wrapText="1"/>
      <protection locked="0"/>
    </xf>
    <xf numFmtId="0" fontId="14" fillId="5" borderId="2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53" xfId="0" applyFont="1" applyFill="1" applyBorder="1" applyAlignment="1">
      <alignment horizontal="center" vertical="center" wrapText="1"/>
    </xf>
    <xf numFmtId="0" fontId="0" fillId="0" borderId="13" xfId="0" applyBorder="1" applyAlignment="1" applyProtection="1">
      <alignment horizontal="center" vertical="center" wrapText="1"/>
      <protection locked="0"/>
    </xf>
    <xf numFmtId="2" fontId="0" fillId="0" borderId="5" xfId="0" applyNumberFormat="1" applyBorder="1" applyAlignment="1" applyProtection="1">
      <alignment horizontal="center" vertical="center" wrapText="1"/>
      <protection locked="0"/>
    </xf>
    <xf numFmtId="2" fontId="0" fillId="0" borderId="63" xfId="0" applyNumberFormat="1" applyBorder="1" applyAlignment="1" applyProtection="1">
      <alignment horizontal="center" vertical="center" wrapText="1"/>
      <protection locked="0"/>
    </xf>
    <xf numFmtId="165" fontId="0" fillId="25" borderId="28" xfId="0" applyNumberFormat="1" applyFill="1" applyBorder="1" applyAlignment="1">
      <alignment horizontal="center" vertical="center" wrapText="1"/>
    </xf>
    <xf numFmtId="165" fontId="0" fillId="25" borderId="18" xfId="0" applyNumberFormat="1" applyFill="1" applyBorder="1" applyAlignment="1">
      <alignment horizontal="center" vertical="center" wrapText="1"/>
    </xf>
    <xf numFmtId="165" fontId="0" fillId="25" borderId="29" xfId="0" applyNumberForma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0" xfId="0" applyFont="1" applyFill="1" applyAlignment="1">
      <alignment horizontal="center" vertical="center" wrapText="1"/>
    </xf>
    <xf numFmtId="0" fontId="4" fillId="7" borderId="18" xfId="0" applyFont="1" applyFill="1" applyBorder="1" applyAlignment="1">
      <alignment horizontal="center" vertical="center"/>
    </xf>
    <xf numFmtId="0" fontId="4" fillId="7" borderId="27" xfId="0" applyFont="1" applyFill="1" applyBorder="1" applyAlignment="1">
      <alignment horizontal="center" vertical="center"/>
    </xf>
    <xf numFmtId="0" fontId="4" fillId="7" borderId="39" xfId="0" applyFont="1" applyFill="1" applyBorder="1" applyAlignment="1">
      <alignment horizontal="center" vertical="center"/>
    </xf>
    <xf numFmtId="0" fontId="4" fillId="7" borderId="62" xfId="0" applyFont="1" applyFill="1" applyBorder="1" applyAlignment="1">
      <alignment horizontal="center" vertical="center"/>
    </xf>
    <xf numFmtId="0" fontId="4" fillId="17" borderId="47" xfId="0" applyFont="1" applyFill="1" applyBorder="1" applyAlignment="1" applyProtection="1">
      <alignment horizontal="center" vertical="center"/>
      <protection locked="0"/>
    </xf>
    <xf numFmtId="0" fontId="4" fillId="17" borderId="55" xfId="0" applyFont="1" applyFill="1" applyBorder="1" applyAlignment="1" applyProtection="1">
      <alignment horizontal="center" vertical="center"/>
      <protection locked="0"/>
    </xf>
    <xf numFmtId="0" fontId="14" fillId="5" borderId="15" xfId="0" applyFont="1" applyFill="1" applyBorder="1" applyAlignment="1">
      <alignment horizontal="center" vertical="center" wrapText="1"/>
    </xf>
    <xf numFmtId="0" fontId="14" fillId="5" borderId="5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4" fillId="7" borderId="13" xfId="0" applyFont="1" applyFill="1" applyBorder="1" applyAlignment="1">
      <alignment horizontal="center" vertical="center"/>
    </xf>
    <xf numFmtId="0" fontId="4" fillId="7" borderId="61" xfId="0" applyFont="1" applyFill="1" applyBorder="1" applyAlignment="1">
      <alignment horizontal="center" vertical="center"/>
    </xf>
    <xf numFmtId="165" fontId="0" fillId="25" borderId="13" xfId="0" applyNumberFormat="1" applyFill="1" applyBorder="1" applyAlignment="1">
      <alignment horizontal="center" vertical="center" wrapText="1"/>
    </xf>
    <xf numFmtId="165" fontId="0" fillId="25" borderId="14" xfId="0" applyNumberFormat="1" applyFill="1" applyBorder="1" applyAlignment="1">
      <alignment horizontal="center" vertical="center" wrapText="1"/>
    </xf>
    <xf numFmtId="0" fontId="12" fillId="5" borderId="58"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2" fillId="5" borderId="80" xfId="0" applyFont="1" applyFill="1" applyBorder="1" applyAlignment="1">
      <alignment horizontal="center" vertical="center" wrapText="1"/>
    </xf>
    <xf numFmtId="0" fontId="2" fillId="12" borderId="61" xfId="0" applyFont="1" applyFill="1" applyBorder="1" applyAlignment="1">
      <alignment horizontal="center"/>
    </xf>
    <xf numFmtId="2" fontId="0" fillId="0" borderId="34" xfId="0" applyNumberFormat="1" applyBorder="1" applyAlignment="1" applyProtection="1">
      <alignment horizontal="center" vertical="center" wrapText="1"/>
      <protection locked="0"/>
    </xf>
    <xf numFmtId="2" fontId="0" fillId="0" borderId="35" xfId="0" applyNumberFormat="1" applyBorder="1" applyAlignment="1" applyProtection="1">
      <alignment horizontal="center" vertical="center" wrapText="1"/>
      <protection locked="0"/>
    </xf>
    <xf numFmtId="165" fontId="0" fillId="25" borderId="11" xfId="0" applyNumberFormat="1" applyFill="1" applyBorder="1" applyAlignment="1">
      <alignment horizontal="center" vertical="center" wrapText="1"/>
    </xf>
    <xf numFmtId="0" fontId="54" fillId="5" borderId="18" xfId="0" applyFont="1" applyFill="1" applyBorder="1" applyAlignment="1">
      <alignment horizontal="center" vertical="center" wrapText="1"/>
    </xf>
    <xf numFmtId="0" fontId="14" fillId="5" borderId="78" xfId="0" applyFont="1" applyFill="1" applyBorder="1" applyAlignment="1">
      <alignment horizontal="center" vertical="center" wrapText="1"/>
    </xf>
    <xf numFmtId="0" fontId="14" fillId="5" borderId="52" xfId="0" applyFont="1" applyFill="1" applyBorder="1" applyAlignment="1">
      <alignment horizontal="center" vertical="center" wrapText="1"/>
    </xf>
    <xf numFmtId="0" fontId="14" fillId="5" borderId="76"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0" fillId="2" borderId="25" xfId="0" applyFill="1" applyBorder="1" applyAlignment="1">
      <alignment horizontal="center" vertical="center" wrapText="1"/>
    </xf>
    <xf numFmtId="0" fontId="0" fillId="2" borderId="39" xfId="0" applyFill="1" applyBorder="1" applyAlignment="1">
      <alignment horizontal="center" vertical="center" wrapText="1"/>
    </xf>
    <xf numFmtId="0" fontId="41" fillId="12" borderId="0" xfId="0" applyFont="1" applyFill="1" applyAlignment="1">
      <alignment horizontal="center" wrapText="1"/>
    </xf>
    <xf numFmtId="0" fontId="0" fillId="12" borderId="0" xfId="0" applyFill="1" applyAlignment="1">
      <alignment horizontal="center" wrapText="1"/>
    </xf>
    <xf numFmtId="0" fontId="1" fillId="12" borderId="0" xfId="0" applyFont="1" applyFill="1" applyAlignment="1">
      <alignment horizontal="center"/>
    </xf>
    <xf numFmtId="0" fontId="17" fillId="5" borderId="28"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78" xfId="0" applyFont="1" applyFill="1" applyBorder="1" applyAlignment="1">
      <alignment horizontal="center" vertical="center" wrapText="1"/>
    </xf>
    <xf numFmtId="0" fontId="17" fillId="5" borderId="72" xfId="0" applyFont="1" applyFill="1" applyBorder="1" applyAlignment="1">
      <alignment horizontal="center" vertical="center" wrapText="1"/>
    </xf>
    <xf numFmtId="0" fontId="17" fillId="5" borderId="76" xfId="0" applyFont="1" applyFill="1" applyBorder="1" applyAlignment="1">
      <alignment horizontal="center" vertical="center" wrapText="1"/>
    </xf>
    <xf numFmtId="0" fontId="22" fillId="5" borderId="11" xfId="0" applyFont="1" applyFill="1" applyBorder="1" applyAlignment="1">
      <alignment horizontal="center" vertical="center"/>
    </xf>
    <xf numFmtId="0" fontId="22" fillId="5" borderId="13" xfId="0" applyFont="1" applyFill="1" applyBorder="1" applyAlignment="1">
      <alignment horizontal="center" vertical="center"/>
    </xf>
    <xf numFmtId="0" fontId="22" fillId="5" borderId="28" xfId="0" applyFont="1" applyFill="1" applyBorder="1" applyAlignment="1">
      <alignment horizontal="center" vertical="center"/>
    </xf>
    <xf numFmtId="0" fontId="22" fillId="5" borderId="18" xfId="0" applyFont="1" applyFill="1" applyBorder="1" applyAlignment="1">
      <alignment horizontal="center" vertical="center"/>
    </xf>
    <xf numFmtId="0" fontId="22" fillId="5" borderId="25" xfId="0" applyFont="1" applyFill="1" applyBorder="1" applyAlignment="1">
      <alignment horizontal="center" vertical="center"/>
    </xf>
    <xf numFmtId="0" fontId="22" fillId="5" borderId="39" xfId="0" applyFont="1" applyFill="1" applyBorder="1" applyAlignment="1">
      <alignment horizontal="center" vertical="center"/>
    </xf>
    <xf numFmtId="0" fontId="22" fillId="5" borderId="2" xfId="0" applyFont="1" applyFill="1" applyBorder="1" applyAlignment="1">
      <alignment horizontal="center" vertical="center"/>
    </xf>
    <xf numFmtId="165" fontId="5" fillId="3" borderId="39" xfId="0" applyNumberFormat="1" applyFont="1" applyFill="1" applyBorder="1" applyAlignment="1">
      <alignment horizontal="center" vertical="center"/>
    </xf>
    <xf numFmtId="165" fontId="5" fillId="3" borderId="26" xfId="0" applyNumberFormat="1" applyFont="1" applyFill="1" applyBorder="1" applyAlignment="1">
      <alignment horizontal="center" vertical="center"/>
    </xf>
    <xf numFmtId="165" fontId="5" fillId="3" borderId="18" xfId="0" applyNumberFormat="1" applyFont="1" applyFill="1" applyBorder="1" applyAlignment="1">
      <alignment horizontal="center" vertical="center"/>
    </xf>
    <xf numFmtId="165" fontId="5" fillId="3" borderId="29" xfId="0" applyNumberFormat="1" applyFont="1" applyFill="1" applyBorder="1" applyAlignment="1">
      <alignment horizontal="center" vertical="center"/>
    </xf>
    <xf numFmtId="165" fontId="5" fillId="3" borderId="13" xfId="0" applyNumberFormat="1" applyFont="1" applyFill="1" applyBorder="1" applyAlignment="1">
      <alignment horizontal="center" vertical="center"/>
    </xf>
    <xf numFmtId="165" fontId="5" fillId="3" borderId="14" xfId="0" applyNumberFormat="1" applyFont="1" applyFill="1" applyBorder="1" applyAlignment="1">
      <alignment horizontal="center" vertical="center"/>
    </xf>
    <xf numFmtId="0" fontId="5" fillId="6" borderId="44" xfId="0" applyFont="1" applyFill="1" applyBorder="1" applyAlignment="1">
      <alignment horizontal="center" vertical="center"/>
    </xf>
    <xf numFmtId="0" fontId="5" fillId="6" borderId="40" xfId="0" applyFont="1" applyFill="1" applyBorder="1" applyAlignment="1">
      <alignment horizontal="center" vertical="center"/>
    </xf>
    <xf numFmtId="0" fontId="3" fillId="12" borderId="35" xfId="0" applyFont="1" applyFill="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center" vertical="center"/>
    </xf>
    <xf numFmtId="0" fontId="5" fillId="4" borderId="3" xfId="0" applyFont="1" applyFill="1" applyBorder="1" applyAlignment="1">
      <alignment horizontal="center" vertical="center"/>
    </xf>
    <xf numFmtId="0" fontId="5" fillId="8" borderId="24" xfId="0" applyFont="1" applyFill="1" applyBorder="1" applyAlignment="1">
      <alignment horizontal="center"/>
    </xf>
    <xf numFmtId="0" fontId="5" fillId="24" borderId="24" xfId="0" applyFont="1" applyFill="1" applyBorder="1" applyAlignment="1">
      <alignment horizontal="center" vertical="center"/>
    </xf>
    <xf numFmtId="0" fontId="5" fillId="9" borderId="24" xfId="0" applyFont="1" applyFill="1" applyBorder="1" applyAlignment="1">
      <alignment horizontal="center"/>
    </xf>
    <xf numFmtId="0" fontId="3" fillId="8" borderId="24"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12" fillId="28" borderId="1" xfId="0" applyFont="1" applyFill="1" applyBorder="1" applyAlignment="1">
      <alignment horizontal="center" vertical="center"/>
    </xf>
    <xf numFmtId="0" fontId="12" fillId="28" borderId="2" xfId="0" applyFont="1" applyFill="1" applyBorder="1" applyAlignment="1">
      <alignment horizontal="center" vertical="center"/>
    </xf>
    <xf numFmtId="0" fontId="12" fillId="28" borderId="3" xfId="0" applyFont="1" applyFill="1" applyBorder="1" applyAlignment="1">
      <alignment horizontal="center" vertical="center"/>
    </xf>
    <xf numFmtId="0" fontId="12" fillId="28" borderId="30" xfId="0" applyFont="1" applyFill="1" applyBorder="1" applyAlignment="1">
      <alignment horizontal="center" vertical="center"/>
    </xf>
    <xf numFmtId="0" fontId="12" fillId="28" borderId="31" xfId="0" applyFont="1" applyFill="1" applyBorder="1" applyAlignment="1">
      <alignment horizontal="center" vertical="center"/>
    </xf>
    <xf numFmtId="0" fontId="12" fillId="28" borderId="32" xfId="0" applyFont="1" applyFill="1" applyBorder="1" applyAlignment="1">
      <alignment horizontal="center" vertical="center"/>
    </xf>
    <xf numFmtId="0" fontId="12" fillId="28" borderId="34" xfId="0" applyFont="1" applyFill="1" applyBorder="1" applyAlignment="1">
      <alignment horizontal="center" vertical="center"/>
    </xf>
    <xf numFmtId="0" fontId="12" fillId="28" borderId="35" xfId="0" applyFont="1" applyFill="1" applyBorder="1" applyAlignment="1">
      <alignment horizontal="center" vertical="center"/>
    </xf>
    <xf numFmtId="0" fontId="12" fillId="28" borderId="36" xfId="0" applyFont="1" applyFill="1" applyBorder="1" applyAlignment="1">
      <alignment horizontal="center" vertical="center"/>
    </xf>
    <xf numFmtId="0" fontId="2" fillId="22" borderId="48"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2" fillId="22" borderId="50" xfId="0" applyFont="1" applyFill="1" applyBorder="1" applyAlignment="1">
      <alignment horizontal="center" vertical="center" wrapText="1"/>
    </xf>
    <xf numFmtId="0" fontId="5" fillId="2" borderId="25"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26" xfId="0" applyFont="1" applyFill="1" applyBorder="1" applyAlignment="1">
      <alignment horizontal="center" vertical="center"/>
    </xf>
    <xf numFmtId="0" fontId="3" fillId="8" borderId="48"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79" xfId="0" applyFont="1" applyFill="1" applyBorder="1" applyAlignment="1">
      <alignment horizontal="center" vertical="center" wrapText="1"/>
    </xf>
    <xf numFmtId="0" fontId="2" fillId="10" borderId="29"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5" fillId="10" borderId="5" xfId="0" applyFont="1" applyFill="1" applyBorder="1" applyAlignment="1">
      <alignment horizontal="center" vertical="center"/>
    </xf>
    <xf numFmtId="0" fontId="5" fillId="10" borderId="63" xfId="0" applyFont="1" applyFill="1" applyBorder="1" applyAlignment="1">
      <alignment horizontal="center" vertical="center"/>
    </xf>
    <xf numFmtId="0" fontId="5" fillId="10" borderId="6" xfId="0" applyFont="1" applyFill="1" applyBorder="1" applyAlignment="1">
      <alignment horizontal="center" vertical="center"/>
    </xf>
    <xf numFmtId="0" fontId="14" fillId="5" borderId="41"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27" xfId="0" applyFont="1" applyFill="1" applyBorder="1" applyAlignment="1">
      <alignment horizontal="center"/>
    </xf>
    <xf numFmtId="0" fontId="14" fillId="5" borderId="41" xfId="0" applyFont="1" applyFill="1" applyBorder="1" applyAlignment="1">
      <alignment horizontal="center"/>
    </xf>
    <xf numFmtId="0" fontId="14" fillId="5" borderId="38" xfId="0" applyFont="1" applyFill="1" applyBorder="1" applyAlignment="1">
      <alignment horizontal="center"/>
    </xf>
    <xf numFmtId="0" fontId="30" fillId="5" borderId="17" xfId="0" applyFont="1" applyFill="1" applyBorder="1" applyAlignment="1">
      <alignment horizontal="center"/>
    </xf>
    <xf numFmtId="0" fontId="14" fillId="5" borderId="0" xfId="0" applyFont="1" applyFill="1" applyAlignment="1">
      <alignment horizontal="center"/>
    </xf>
    <xf numFmtId="0" fontId="34" fillId="5" borderId="17" xfId="0" applyFont="1" applyFill="1" applyBorder="1" applyAlignment="1">
      <alignment horizontal="center" wrapText="1"/>
    </xf>
    <xf numFmtId="0" fontId="33" fillId="5" borderId="0" xfId="0" applyFont="1" applyFill="1" applyAlignment="1">
      <alignment horizontal="center" vertical="center" wrapText="1"/>
    </xf>
    <xf numFmtId="0" fontId="14" fillId="5" borderId="5" xfId="0" applyFont="1" applyFill="1" applyBorder="1" applyAlignment="1">
      <alignment horizontal="center" vertical="center" wrapText="1"/>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11" xfId="0" applyBorder="1" applyAlignment="1">
      <alignment horizontal="center" vertical="center"/>
    </xf>
    <xf numFmtId="0" fontId="0" fillId="0" borderId="39"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11" xfId="0" applyBorder="1" applyAlignment="1">
      <alignment horizontal="center" vertical="center" wrapText="1"/>
    </xf>
  </cellXfs>
  <cellStyles count="33">
    <cellStyle name="Comma 2" xfId="4" xr:uid="{51224B8C-E8E3-47D2-A8F6-58EF7C551F9F}"/>
    <cellStyle name="Comma 2 2" xfId="5" xr:uid="{A728E390-66AE-44B3-ADFD-FEECB90E8647}"/>
    <cellStyle name="Comma 2 2 2" xfId="17" xr:uid="{9E775CFB-038E-47DD-8BD3-E436175821F2}"/>
    <cellStyle name="Comma 2 2 2 2" xfId="28" xr:uid="{4C957086-B6C9-45D0-809C-FD3B52CC1CFD}"/>
    <cellStyle name="Comma 2 2 3" xfId="23" xr:uid="{00AD15E0-C8C8-4862-BCCC-4B1DDC4A6CC5}"/>
    <cellStyle name="Comma 2 3" xfId="6" xr:uid="{4AE7532A-1280-4EA2-BD05-356BAA3F5334}"/>
    <cellStyle name="Comma 3" xfId="7" xr:uid="{6E026BA7-9710-4945-AC5E-692FBCB0071C}"/>
    <cellStyle name="Comma 3 2" xfId="8" xr:uid="{888492F3-8238-4658-AE91-2D3064833FF5}"/>
    <cellStyle name="Comma 3 2 2" xfId="19" xr:uid="{8B01FCB9-B130-4803-BAB3-1412FE5F339D}"/>
    <cellStyle name="Comma 3 2 2 2" xfId="30" xr:uid="{612947E2-7E7E-4965-B60C-20BEE31A774C}"/>
    <cellStyle name="Comma 3 2 3" xfId="25" xr:uid="{608353AA-7B5C-438B-AFF3-DAD9ABFB8998}"/>
    <cellStyle name="Comma 3 3" xfId="18" xr:uid="{4726DC99-FD4E-4C3B-8B8B-0E2829628A76}"/>
    <cellStyle name="Comma 3 3 2" xfId="29" xr:uid="{E41F5787-6EF3-47C0-83C9-D2111B2DCE65}"/>
    <cellStyle name="Comma 3 4" xfId="24" xr:uid="{3994423A-ED46-4948-A08B-97059F1E1348}"/>
    <cellStyle name="Comma 4" xfId="9" xr:uid="{1A0133AA-66F1-4B47-A5FE-E6F2A73000A7}"/>
    <cellStyle name="Comma 4 2" xfId="20" xr:uid="{86633743-ABE0-4C7B-B86D-99D3B99B9F59}"/>
    <cellStyle name="Comma 4 2 2" xfId="31" xr:uid="{CB81CB54-E4BD-47DE-BD74-12AEB64AE6FE}"/>
    <cellStyle name="Comma 4 3" xfId="26" xr:uid="{CE1C7454-B02F-48A1-A8B8-7D7BEE4AC3BF}"/>
    <cellStyle name="Comma 5" xfId="3" xr:uid="{79F2816B-0FDC-4D15-8090-174684463E7D}"/>
    <cellStyle name="Comma 5 2" xfId="16" xr:uid="{CF16011A-4205-4192-96FB-C28AD538ABE0}"/>
    <cellStyle name="Comma 5 2 2" xfId="27" xr:uid="{2E151703-1ACA-45A2-8F93-D9F490F425E1}"/>
    <cellStyle name="Comma 5 3" xfId="22" xr:uid="{DC303C44-F1F6-480C-94FF-CA0F0C41814B}"/>
    <cellStyle name="Neutral" xfId="21" builtinId="28"/>
    <cellStyle name="Normal" xfId="0" builtinId="0"/>
    <cellStyle name="Normal 2" xfId="1" xr:uid="{E6A8696B-29F8-4817-8F76-653BA65C4A2E}"/>
    <cellStyle name="Normal 2 2" xfId="10" xr:uid="{CA4778F4-9731-46EA-8460-559FA7B3CACC}"/>
    <cellStyle name="Normal 3" xfId="11" xr:uid="{7158F620-BA0C-49E4-80E1-B2DC2A74F7F8}"/>
    <cellStyle name="Normal 4" xfId="12" xr:uid="{7097E372-FFB9-4D29-A0F0-BD126DA83633}"/>
    <cellStyle name="Normal 5" xfId="13" xr:uid="{5DB3A312-3AB1-44EA-B546-F8820A9A5B48}"/>
    <cellStyle name="Normal 5 2" xfId="14" xr:uid="{65A03616-56F7-4562-879E-B2B300C3AB73}"/>
    <cellStyle name="Normal 6" xfId="15" xr:uid="{AA935158-86F7-4047-BBA7-998D3D0BFC0C}"/>
    <cellStyle name="Normal 7" xfId="2" xr:uid="{A9753FD2-FBE0-4C3D-9D14-A03A420391E4}"/>
    <cellStyle name="Percent" xfId="32" builtinId="5"/>
  </cellStyles>
  <dxfs count="419">
    <dxf>
      <border diagonalUp="0" diagonalDown="0">
        <left style="thin">
          <color indexed="64"/>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style="thin">
          <color indexed="64"/>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font>
        <color theme="0"/>
      </font>
      <fill>
        <patternFill>
          <bgColor rgb="FFC00000"/>
        </patternFill>
      </fill>
    </dxf>
    <dxf>
      <font>
        <color auto="1"/>
      </font>
      <fill>
        <patternFill>
          <bgColor rgb="FFFFC000"/>
        </patternFill>
      </fill>
    </dxf>
    <dxf>
      <font>
        <color auto="1"/>
      </font>
      <fill>
        <patternFill>
          <bgColor theme="9" tint="0.39994506668294322"/>
        </patternFill>
      </fill>
    </dxf>
    <dxf>
      <font>
        <color auto="1"/>
      </font>
      <fill>
        <patternFill>
          <bgColor rgb="FFFFC000"/>
        </patternFill>
      </fill>
    </dxf>
    <dxf>
      <font>
        <color auto="1"/>
      </font>
      <fill>
        <patternFill>
          <bgColor theme="9" tint="0.39994506668294322"/>
        </patternFill>
      </fill>
    </dxf>
    <dxf>
      <font>
        <color auto="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1" tint="4.9989318521683403E-2"/>
      </font>
      <fill>
        <patternFill>
          <bgColor rgb="FFFFC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ill>
        <patternFill>
          <bgColor theme="0" tint="-0.24994659260841701"/>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border>
        <left style="thin">
          <color auto="1"/>
        </left>
        <right style="thin">
          <color auto="1"/>
        </right>
        <top style="thin">
          <color auto="1"/>
        </top>
        <bottom style="thin">
          <color auto="1"/>
        </bottom>
      </border>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ont>
        <color theme="0"/>
      </font>
      <fill>
        <patternFill>
          <bgColor rgb="FFC00000"/>
        </patternFill>
      </fill>
    </dxf>
    <dxf>
      <font>
        <color theme="1"/>
      </font>
      <fill>
        <patternFill>
          <bgColor theme="0" tint="-0.34998626667073579"/>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0"/>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92D05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b/>
        <i val="0"/>
        <strike val="0"/>
        <color theme="0"/>
      </font>
      <fill>
        <patternFill>
          <bgColor rgb="FFC00000"/>
        </patternFill>
      </fill>
    </dxf>
    <dxf>
      <font>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strike val="0"/>
        <color theme="0"/>
      </font>
      <fill>
        <patternFill>
          <bgColor rgb="FFC00000"/>
        </patternFill>
      </fill>
    </dxf>
    <dxf>
      <font>
        <b/>
        <i val="0"/>
        <color theme="1"/>
      </font>
      <fill>
        <patternFill>
          <bgColor rgb="FFFFC000"/>
        </patternFill>
      </fill>
    </dxf>
    <dxf>
      <fill>
        <patternFill>
          <bgColor rgb="FFFFC000"/>
        </patternFill>
      </fill>
    </dxf>
    <dxf>
      <fill>
        <patternFill>
          <bgColor rgb="FFFFC000"/>
        </patternFill>
      </fill>
    </dxf>
    <dxf>
      <fill>
        <patternFill>
          <bgColor rgb="FFFFC000"/>
        </patternFill>
      </fill>
    </dxf>
    <dxf>
      <font>
        <b/>
        <i val="0"/>
        <color theme="0"/>
      </font>
      <fill>
        <patternFill>
          <bgColor rgb="FFC00000"/>
        </patternFill>
      </fill>
    </dxf>
    <dxf>
      <font>
        <b/>
        <i val="0"/>
        <strike val="0"/>
        <color theme="1"/>
      </font>
      <fill>
        <patternFill>
          <bgColor theme="9" tint="0.39994506668294322"/>
        </patternFill>
      </fill>
    </dxf>
    <dxf>
      <font>
        <b/>
        <i val="0"/>
        <strike val="0"/>
        <color theme="0"/>
      </font>
      <fill>
        <patternFill>
          <bgColor rgb="FFC00000"/>
        </patternFill>
      </fill>
    </dxf>
    <dxf>
      <fill>
        <patternFill>
          <bgColor rgb="FFFFC000"/>
        </patternFill>
      </fill>
    </dxf>
    <dxf>
      <font>
        <b/>
        <i val="0"/>
        <strike val="0"/>
        <color theme="1"/>
      </font>
      <fill>
        <patternFill>
          <bgColor theme="9" tint="0.39994506668294322"/>
        </patternFill>
      </fill>
    </dxf>
    <dxf>
      <font>
        <b/>
        <i val="0"/>
        <strike val="0"/>
        <color theme="0"/>
      </font>
      <fill>
        <patternFill>
          <bgColor rgb="FFC00000"/>
        </patternFill>
      </fill>
    </dxf>
    <dxf>
      <font>
        <b/>
        <i val="0"/>
        <color theme="0"/>
      </font>
      <fill>
        <patternFill>
          <bgColor rgb="FFC00000"/>
        </patternFill>
      </fill>
    </dxf>
    <dxf>
      <font>
        <b/>
        <i val="0"/>
        <strike val="0"/>
        <color theme="0"/>
      </font>
      <fill>
        <patternFill>
          <bgColor rgb="FFC00000"/>
        </patternFill>
      </fill>
    </dxf>
    <dxf>
      <font>
        <b/>
        <i val="0"/>
        <strike val="0"/>
      </font>
      <fill>
        <patternFill>
          <bgColor theme="9" tint="0.39994506668294322"/>
        </patternFill>
      </fill>
    </dxf>
    <dxf>
      <font>
        <b/>
        <i val="0"/>
        <strike val="0"/>
        <color theme="1"/>
      </font>
      <fill>
        <patternFill>
          <bgColor theme="9" tint="0.39994506668294322"/>
        </patternFill>
      </fill>
    </dxf>
    <dxf>
      <font>
        <b/>
        <i val="0"/>
        <strike val="0"/>
        <color theme="0"/>
      </font>
      <fill>
        <patternFill>
          <bgColor rgb="FFC00000"/>
        </patternFill>
      </fill>
    </dxf>
    <dxf>
      <font>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strike val="0"/>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color theme="0"/>
      </font>
      <fill>
        <patternFill>
          <bgColor rgb="FFC00000"/>
        </patternFill>
      </fill>
    </dxf>
    <dxf>
      <font>
        <color theme="1"/>
      </font>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rgb="FFFFC000"/>
        </patternFill>
      </fill>
    </dxf>
    <dxf>
      <font>
        <color theme="0"/>
      </font>
      <fill>
        <patternFill>
          <bgColor rgb="FFC00000"/>
        </patternFill>
      </fill>
    </dxf>
    <dxf>
      <font>
        <b/>
        <i val="0"/>
        <strike val="0"/>
        <color theme="1"/>
      </font>
      <fill>
        <patternFill>
          <bgColor theme="9" tint="0.39994506668294322"/>
        </patternFill>
      </fill>
    </dxf>
  </dxfs>
  <tableStyles count="0" defaultTableStyle="TableStyleMedium2" defaultPivotStyle="PivotStyleLight16"/>
  <colors>
    <mruColors>
      <color rgb="FFF2F0D9"/>
      <color rgb="FF005E5C"/>
      <color rgb="FFF2EAD9"/>
      <color rgb="FFFFFF99"/>
      <color rgb="FFFFCCFF"/>
      <color rgb="FF305496"/>
      <color rgb="FFBDD7EE"/>
      <color rgb="FF7B7B7B"/>
      <color rgb="FFF2F2F2"/>
      <color rgb="FFE2C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microsoft.com/office/2017/06/relationships/rdRichValueTypes" Target="richData/rdRichValueTypes.xml"/><Relationship Id="rId27"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'8. Headline Results'!$C$35</c:f>
              <c:strCache>
                <c:ptCount val="1"/>
                <c:pt idx="0">
                  <c:v>Baseline</c:v>
                </c:pt>
              </c:strCache>
            </c:strRef>
          </c:tx>
          <c:spPr>
            <a:solidFill>
              <a:schemeClr val="accent1">
                <a:shade val="76000"/>
              </a:schemeClr>
            </a:solidFill>
            <a:ln>
              <a:noFill/>
            </a:ln>
            <a:effectLst/>
          </c:spPr>
          <c:invertIfNegative val="0"/>
          <c:cat>
            <c:strRef>
              <c:f>'8. Headline Results'!$C$15:$C$17</c:f>
              <c:strCache>
                <c:ptCount val="3"/>
                <c:pt idx="0">
                  <c:v>Area habitat units</c:v>
                </c:pt>
                <c:pt idx="1">
                  <c:v>Hedgerow units</c:v>
                </c:pt>
                <c:pt idx="2">
                  <c:v>Watercourse units</c:v>
                </c:pt>
              </c:strCache>
            </c:strRef>
          </c:cat>
          <c:val>
            <c:numRef>
              <c:f>'8. Headline Results'!$C$36:$C$38</c:f>
              <c:numCache>
                <c:formatCode>0.00</c:formatCode>
                <c:ptCount val="3"/>
                <c:pt idx="0">
                  <c:v>1.2971600000000001</c:v>
                </c:pt>
                <c:pt idx="1">
                  <c:v>0.26</c:v>
                </c:pt>
                <c:pt idx="2">
                  <c:v>0</c:v>
                </c:pt>
              </c:numCache>
            </c:numRef>
          </c:val>
          <c:extLst>
            <c:ext xmlns:c16="http://schemas.microsoft.com/office/drawing/2014/chart" uri="{C3380CC4-5D6E-409C-BE32-E72D297353CC}">
              <c16:uniqueId val="{00000000-ADE3-43C7-9D3E-9711237677AE}"/>
            </c:ext>
          </c:extLst>
        </c:ser>
        <c:ser>
          <c:idx val="1"/>
          <c:order val="1"/>
          <c:tx>
            <c:strRef>
              <c:f>'8. Headline Results'!$D$35</c:f>
              <c:strCache>
                <c:ptCount val="1"/>
                <c:pt idx="0">
                  <c:v>Provision</c:v>
                </c:pt>
              </c:strCache>
            </c:strRef>
          </c:tx>
          <c:spPr>
            <a:solidFill>
              <a:schemeClr val="accent1">
                <a:tint val="77000"/>
              </a:schemeClr>
            </a:solidFill>
            <a:ln>
              <a:noFill/>
            </a:ln>
            <a:effectLst/>
          </c:spPr>
          <c:invertIfNegative val="0"/>
          <c:cat>
            <c:strRef>
              <c:f>'8. Headline Results'!$C$15:$C$17</c:f>
              <c:strCache>
                <c:ptCount val="3"/>
                <c:pt idx="0">
                  <c:v>Area habitat units</c:v>
                </c:pt>
                <c:pt idx="1">
                  <c:v>Hedgerow units</c:v>
                </c:pt>
                <c:pt idx="2">
                  <c:v>Watercourse units</c:v>
                </c:pt>
              </c:strCache>
            </c:strRef>
          </c:cat>
          <c:val>
            <c:numRef>
              <c:f>'8. Headline Results'!$D$36:$D$38</c:f>
              <c:numCache>
                <c:formatCode>0.00</c:formatCode>
                <c:ptCount val="3"/>
                <c:pt idx="0">
                  <c:v>1.4768822830022801</c:v>
                </c:pt>
                <c:pt idx="1">
                  <c:v>0.29912722164200001</c:v>
                </c:pt>
                <c:pt idx="2">
                  <c:v>0</c:v>
                </c:pt>
              </c:numCache>
            </c:numRef>
          </c:val>
          <c:extLst>
            <c:ext xmlns:c16="http://schemas.microsoft.com/office/drawing/2014/chart" uri="{C3380CC4-5D6E-409C-BE32-E72D297353CC}">
              <c16:uniqueId val="{00000001-ADE3-43C7-9D3E-9711237677AE}"/>
            </c:ext>
          </c:extLst>
        </c:ser>
        <c:dLbls>
          <c:showLegendKey val="0"/>
          <c:showVal val="0"/>
          <c:showCatName val="0"/>
          <c:showSerName val="0"/>
          <c:showPercent val="0"/>
          <c:showBubbleSize val="0"/>
        </c:dLbls>
        <c:gapWidth val="219"/>
        <c:overlap val="-27"/>
        <c:axId val="1258806416"/>
        <c:axId val="1258809040"/>
      </c:barChart>
      <c:catAx>
        <c:axId val="125880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58809040"/>
        <c:crosses val="autoZero"/>
        <c:auto val="1"/>
        <c:lblAlgn val="ctr"/>
        <c:lblOffset val="100"/>
        <c:noMultiLvlLbl val="0"/>
      </c:catAx>
      <c:valAx>
        <c:axId val="12588090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58806416"/>
        <c:crosses val="autoZero"/>
        <c:crossBetween val="between"/>
      </c:valAx>
      <c:spPr>
        <a:noFill/>
        <a:ln>
          <a:noFill/>
        </a:ln>
        <a:effectLst/>
      </c:spPr>
    </c:plotArea>
    <c:legend>
      <c:legendPos val="b"/>
      <c:layout>
        <c:manualLayout>
          <c:xMode val="edge"/>
          <c:yMode val="edge"/>
          <c:x val="0.32953449664779744"/>
          <c:y val="0.91915952146809421"/>
          <c:w val="0.33106907529716639"/>
          <c:h val="6.1341360214480063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9</xdr:col>
      <xdr:colOff>458950</xdr:colOff>
      <xdr:row>24</xdr:row>
      <xdr:rowOff>58105</xdr:rowOff>
    </xdr:from>
    <xdr:ext cx="2554995" cy="264560"/>
    <xdr:sp macro="" textlink="">
      <xdr:nvSpPr>
        <xdr:cNvPr id="5" name="TextBox 4">
          <a:extLst>
            <a:ext uri="{FF2B5EF4-FFF2-40B4-BE49-F238E27FC236}">
              <a16:creationId xmlns:a16="http://schemas.microsoft.com/office/drawing/2014/main" id="{DCC9EDB9-A1DE-4710-B92C-F46E9BE28A4B}"/>
            </a:ext>
          </a:extLst>
        </xdr:cNvPr>
        <xdr:cNvSpPr txBox="1"/>
      </xdr:nvSpPr>
      <xdr:spPr>
        <a:xfrm>
          <a:off x="6142200" y="5407980"/>
          <a:ext cx="255499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0" i="0">
              <a:solidFill>
                <a:sysClr val="windowText" lastClr="000000"/>
              </a:solidFill>
              <a:effectLst/>
              <a:latin typeface="+mn-lt"/>
              <a:ea typeface="+mn-ea"/>
              <a:cs typeface="+mn-cs"/>
            </a:rPr>
            <a:t>©</a:t>
          </a:r>
          <a:r>
            <a:rPr lang="en-GB" sz="1100">
              <a:solidFill>
                <a:sysClr val="windowText" lastClr="000000"/>
              </a:solidFill>
            </a:rPr>
            <a:t> </a:t>
          </a:r>
          <a:r>
            <a:rPr lang="en-GB" sz="1100" b="0" i="0">
              <a:solidFill>
                <a:schemeClr val="tx1"/>
              </a:solidFill>
              <a:effectLst/>
              <a:latin typeface="+mn-lt"/>
              <a:ea typeface="+mn-ea"/>
              <a:cs typeface="+mn-cs"/>
            </a:rPr>
            <a:t> Natural England/Margaret Nieke 2012</a:t>
          </a:r>
          <a:endParaRPr lang="en-GB" sz="1100">
            <a:solidFill>
              <a:sysClr val="windowText" lastClr="000000"/>
            </a:solidFill>
          </a:endParaRPr>
        </a:p>
      </xdr:txBody>
    </xdr:sp>
    <xdr:clientData/>
  </xdr:oneCellAnchor>
  <xdr:twoCellAnchor editAs="oneCell">
    <xdr:from>
      <xdr:col>9</xdr:col>
      <xdr:colOff>504825</xdr:colOff>
      <xdr:row>0</xdr:row>
      <xdr:rowOff>0</xdr:rowOff>
    </xdr:from>
    <xdr:to>
      <xdr:col>19</xdr:col>
      <xdr:colOff>0</xdr:colOff>
      <xdr:row>23</xdr:row>
      <xdr:rowOff>78237</xdr:rowOff>
    </xdr:to>
    <xdr:pic>
      <xdr:nvPicPr>
        <xdr:cNvPr id="6" name="Picture 5">
          <a:extLst>
            <a:ext uri="{FF2B5EF4-FFF2-40B4-BE49-F238E27FC236}">
              <a16:creationId xmlns:a16="http://schemas.microsoft.com/office/drawing/2014/main" id="{03742287-8B65-4289-8EA2-7977E9867A60}"/>
            </a:ext>
          </a:extLst>
        </xdr:cNvPr>
        <xdr:cNvPicPr>
          <a:picLocks noChangeAspect="1"/>
        </xdr:cNvPicPr>
      </xdr:nvPicPr>
      <xdr:blipFill>
        <a:blip xmlns:r="http://schemas.openxmlformats.org/officeDocument/2006/relationships" r:embed="rId1"/>
        <a:stretch>
          <a:fillRect/>
        </a:stretch>
      </xdr:blipFill>
      <xdr:spPr>
        <a:xfrm>
          <a:off x="6184106" y="0"/>
          <a:ext cx="5734050" cy="54955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889793</xdr:colOff>
      <xdr:row>33</xdr:row>
      <xdr:rowOff>83344</xdr:rowOff>
    </xdr:from>
    <xdr:to>
      <xdr:col>5</xdr:col>
      <xdr:colOff>35718</xdr:colOff>
      <xdr:row>49</xdr:row>
      <xdr:rowOff>154781</xdr:rowOff>
    </xdr:to>
    <xdr:graphicFrame macro="">
      <xdr:nvGraphicFramePr>
        <xdr:cNvPr id="2" name="Chart 1">
          <a:extLst>
            <a:ext uri="{FF2B5EF4-FFF2-40B4-BE49-F238E27FC236}">
              <a16:creationId xmlns:a16="http://schemas.microsoft.com/office/drawing/2014/main" id="{CA8AF7E8-A34F-431C-9C35-35337382B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cr-fs-02\Development\Users\sja\Downloads\Biodiversity%20Metric%202.0%20Calculation%20Tool%20Beta%20Test%20-%20December%202019%20Update%2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
          <cell r="F3" t="str">
            <v>Habitat Discription</v>
          </cell>
          <cell r="G3" t="str">
            <v>Good</v>
          </cell>
          <cell r="H3" t="str">
            <v>Fairly Good</v>
          </cell>
          <cell r="I3" t="str">
            <v>Moderate</v>
          </cell>
          <cell r="J3" t="str">
            <v>Fairly Poor</v>
          </cell>
          <cell r="K3" t="str">
            <v>Poor</v>
          </cell>
          <cell r="L3" t="str">
            <v>N/A -Agricultural</v>
          </cell>
          <cell r="M3" t="str">
            <v>N/A - Other</v>
          </cell>
        </row>
        <row r="4">
          <cell r="F4" t="str">
            <v>Cropland - Arable field margins cultivated annually</v>
          </cell>
          <cell r="G4">
            <v>1</v>
          </cell>
          <cell r="H4">
            <v>1</v>
          </cell>
          <cell r="I4">
            <v>1</v>
          </cell>
          <cell r="J4">
            <v>1</v>
          </cell>
          <cell r="K4">
            <v>1</v>
          </cell>
          <cell r="L4">
            <v>1</v>
          </cell>
          <cell r="M4" t="str">
            <v>Not Possible</v>
          </cell>
        </row>
        <row r="5">
          <cell r="F5" t="str">
            <v>Cropland - Arable field margins game bird mix</v>
          </cell>
          <cell r="G5">
            <v>1</v>
          </cell>
          <cell r="H5">
            <v>1</v>
          </cell>
          <cell r="I5">
            <v>1</v>
          </cell>
          <cell r="J5">
            <v>1</v>
          </cell>
          <cell r="K5">
            <v>1</v>
          </cell>
          <cell r="L5">
            <v>1</v>
          </cell>
          <cell r="M5" t="str">
            <v>Not Possible</v>
          </cell>
        </row>
        <row r="6">
          <cell r="F6" t="str">
            <v>Cropland - Arable field margins pollen &amp; nectar</v>
          </cell>
          <cell r="G6">
            <v>1</v>
          </cell>
          <cell r="H6">
            <v>1</v>
          </cell>
          <cell r="I6">
            <v>1</v>
          </cell>
          <cell r="J6">
            <v>1</v>
          </cell>
          <cell r="K6">
            <v>1</v>
          </cell>
          <cell r="L6">
            <v>1</v>
          </cell>
          <cell r="M6" t="str">
            <v>Not Possible</v>
          </cell>
        </row>
        <row r="7">
          <cell r="F7" t="str">
            <v>Cropland - Arable field margins tussocky</v>
          </cell>
          <cell r="G7">
            <v>5</v>
          </cell>
          <cell r="H7">
            <v>4</v>
          </cell>
          <cell r="I7">
            <v>3</v>
          </cell>
          <cell r="J7">
            <v>2</v>
          </cell>
          <cell r="K7">
            <v>1</v>
          </cell>
          <cell r="L7">
            <v>1</v>
          </cell>
          <cell r="M7" t="str">
            <v>Not Possible</v>
          </cell>
        </row>
        <row r="8">
          <cell r="F8" t="str">
            <v>Cropland - Cereal crops</v>
          </cell>
          <cell r="G8">
            <v>1</v>
          </cell>
          <cell r="H8">
            <v>1</v>
          </cell>
          <cell r="I8">
            <v>1</v>
          </cell>
          <cell r="J8">
            <v>1</v>
          </cell>
          <cell r="K8">
            <v>1</v>
          </cell>
          <cell r="L8">
            <v>1</v>
          </cell>
          <cell r="M8" t="str">
            <v>Not Possible</v>
          </cell>
        </row>
        <row r="9">
          <cell r="F9" t="str">
            <v>Cropland - Cereal crops other</v>
          </cell>
          <cell r="G9">
            <v>1</v>
          </cell>
          <cell r="H9">
            <v>1</v>
          </cell>
          <cell r="I9">
            <v>1</v>
          </cell>
          <cell r="J9">
            <v>1</v>
          </cell>
          <cell r="K9">
            <v>1</v>
          </cell>
          <cell r="L9">
            <v>1</v>
          </cell>
          <cell r="M9" t="str">
            <v>Not Possible</v>
          </cell>
        </row>
        <row r="10">
          <cell r="F10" t="str">
            <v>Cropland - Cereal crops winter stubble</v>
          </cell>
          <cell r="G10">
            <v>1</v>
          </cell>
          <cell r="H10">
            <v>1</v>
          </cell>
          <cell r="I10">
            <v>1</v>
          </cell>
          <cell r="J10">
            <v>1</v>
          </cell>
          <cell r="K10">
            <v>1</v>
          </cell>
          <cell r="L10">
            <v>1</v>
          </cell>
          <cell r="M10" t="str">
            <v>Not Possible</v>
          </cell>
        </row>
        <row r="11">
          <cell r="F11" t="str">
            <v>Cropland - Horticulture</v>
          </cell>
          <cell r="G11">
            <v>1</v>
          </cell>
          <cell r="H11">
            <v>1</v>
          </cell>
          <cell r="I11">
            <v>1</v>
          </cell>
          <cell r="J11">
            <v>1</v>
          </cell>
          <cell r="K11">
            <v>1</v>
          </cell>
          <cell r="L11">
            <v>1</v>
          </cell>
          <cell r="M11" t="str">
            <v>Not Possible</v>
          </cell>
        </row>
        <row r="12">
          <cell r="F12" t="str">
            <v>Cropland - Intensive orchards</v>
          </cell>
          <cell r="G12">
            <v>1</v>
          </cell>
          <cell r="H12">
            <v>1</v>
          </cell>
          <cell r="I12">
            <v>1</v>
          </cell>
          <cell r="J12">
            <v>1</v>
          </cell>
          <cell r="K12">
            <v>1</v>
          </cell>
          <cell r="L12">
            <v>1</v>
          </cell>
          <cell r="M12" t="str">
            <v>Not Possible</v>
          </cell>
        </row>
        <row r="13">
          <cell r="F13" t="str">
            <v>Cropland - Non-cereal crops</v>
          </cell>
          <cell r="G13">
            <v>1</v>
          </cell>
          <cell r="H13">
            <v>1</v>
          </cell>
          <cell r="I13">
            <v>1</v>
          </cell>
          <cell r="J13">
            <v>1</v>
          </cell>
          <cell r="K13">
            <v>1</v>
          </cell>
          <cell r="L13">
            <v>1</v>
          </cell>
          <cell r="M13" t="str">
            <v>Not Possible</v>
          </cell>
        </row>
        <row r="14">
          <cell r="F14" t="str">
            <v>Cropland - Temporary grass and clover leys</v>
          </cell>
          <cell r="G14">
            <v>1</v>
          </cell>
          <cell r="H14">
            <v>1</v>
          </cell>
          <cell r="I14">
            <v>1</v>
          </cell>
          <cell r="J14">
            <v>1</v>
          </cell>
          <cell r="K14">
            <v>1</v>
          </cell>
          <cell r="L14">
            <v>1</v>
          </cell>
          <cell r="M14" t="str">
            <v>Not Possible</v>
          </cell>
        </row>
        <row r="15">
          <cell r="F15" t="str">
            <v>Cropland - Traditional orchards</v>
          </cell>
          <cell r="G15">
            <v>30</v>
          </cell>
          <cell r="H15">
            <v>25</v>
          </cell>
          <cell r="I15">
            <v>20</v>
          </cell>
          <cell r="J15">
            <v>10</v>
          </cell>
          <cell r="K15">
            <v>5</v>
          </cell>
          <cell r="L15" t="str">
            <v>Not Possible</v>
          </cell>
          <cell r="M15" t="str">
            <v>Not Possible</v>
          </cell>
        </row>
        <row r="16">
          <cell r="F16" t="str">
            <v>Grassland - Bracken</v>
          </cell>
          <cell r="G16">
            <v>5</v>
          </cell>
          <cell r="H16">
            <v>4</v>
          </cell>
          <cell r="I16">
            <v>3</v>
          </cell>
          <cell r="J16">
            <v>2</v>
          </cell>
          <cell r="K16">
            <v>1</v>
          </cell>
          <cell r="L16" t="str">
            <v>Not Possible</v>
          </cell>
          <cell r="M16" t="str">
            <v>Not Possible</v>
          </cell>
        </row>
        <row r="17">
          <cell r="F17" t="str">
            <v>Grassland - Floodplain Wetland Mosaic (CFGM)</v>
          </cell>
          <cell r="G17">
            <v>30</v>
          </cell>
          <cell r="H17">
            <v>25</v>
          </cell>
          <cell r="I17">
            <v>20</v>
          </cell>
          <cell r="J17">
            <v>15</v>
          </cell>
          <cell r="K17">
            <v>10</v>
          </cell>
          <cell r="L17" t="str">
            <v>Not Possible</v>
          </cell>
          <cell r="M17" t="str">
            <v>Not Possible</v>
          </cell>
        </row>
        <row r="18">
          <cell r="F18" t="str">
            <v>Grassland - Lowland calcareous grassland</v>
          </cell>
          <cell r="G18">
            <v>30</v>
          </cell>
          <cell r="H18">
            <v>25</v>
          </cell>
          <cell r="I18">
            <v>20</v>
          </cell>
          <cell r="J18">
            <v>15</v>
          </cell>
          <cell r="K18">
            <v>10</v>
          </cell>
          <cell r="L18" t="str">
            <v>Not Possible</v>
          </cell>
          <cell r="M18" t="str">
            <v>Not Possible</v>
          </cell>
        </row>
        <row r="19">
          <cell r="F19" t="str">
            <v>Grassland - Lowland dry acid grassland</v>
          </cell>
          <cell r="G19">
            <v>30</v>
          </cell>
          <cell r="H19">
            <v>25</v>
          </cell>
          <cell r="I19">
            <v>20</v>
          </cell>
          <cell r="J19">
            <v>15</v>
          </cell>
          <cell r="K19">
            <v>10</v>
          </cell>
          <cell r="L19" t="str">
            <v>Not Possible</v>
          </cell>
          <cell r="M19" t="str">
            <v>Not Possible</v>
          </cell>
        </row>
        <row r="20">
          <cell r="F20" t="str">
            <v>Grassland - Lowland meadows</v>
          </cell>
          <cell r="G20">
            <v>15</v>
          </cell>
          <cell r="H20">
            <v>12</v>
          </cell>
          <cell r="I20">
            <v>10</v>
          </cell>
          <cell r="J20">
            <v>8</v>
          </cell>
          <cell r="K20">
            <v>5</v>
          </cell>
          <cell r="L20" t="str">
            <v>Not Possible</v>
          </cell>
          <cell r="M20" t="str">
            <v>Not Possible</v>
          </cell>
        </row>
        <row r="21">
          <cell r="F21" t="str">
            <v>Grassland - Modified grassland</v>
          </cell>
          <cell r="G21">
            <v>15</v>
          </cell>
          <cell r="H21">
            <v>12</v>
          </cell>
          <cell r="I21">
            <v>10</v>
          </cell>
          <cell r="J21">
            <v>5</v>
          </cell>
          <cell r="K21">
            <v>1</v>
          </cell>
          <cell r="L21">
            <v>1</v>
          </cell>
          <cell r="M21" t="str">
            <v>Not Possible</v>
          </cell>
        </row>
        <row r="22">
          <cell r="F22" t="str">
            <v>Grassland - Other lowland acid grassland</v>
          </cell>
          <cell r="G22">
            <v>15</v>
          </cell>
          <cell r="H22">
            <v>12</v>
          </cell>
          <cell r="I22">
            <v>10</v>
          </cell>
          <cell r="J22">
            <v>5</v>
          </cell>
          <cell r="K22">
            <v>1</v>
          </cell>
          <cell r="L22" t="str">
            <v>Not Possible</v>
          </cell>
          <cell r="M22" t="str">
            <v>Not Possible</v>
          </cell>
        </row>
        <row r="23">
          <cell r="F23" t="str">
            <v>Grassland - Other neutral grassland</v>
          </cell>
          <cell r="G23">
            <v>15</v>
          </cell>
          <cell r="H23">
            <v>12</v>
          </cell>
          <cell r="I23">
            <v>10</v>
          </cell>
          <cell r="J23">
            <v>5</v>
          </cell>
          <cell r="K23">
            <v>1</v>
          </cell>
          <cell r="L23" t="str">
            <v>Not Possible</v>
          </cell>
          <cell r="M23" t="str">
            <v>Not Possible</v>
          </cell>
        </row>
        <row r="24">
          <cell r="F24" t="str">
            <v>Grassland - Tall herb communities</v>
          </cell>
          <cell r="G24">
            <v>30</v>
          </cell>
          <cell r="H24">
            <v>25</v>
          </cell>
          <cell r="I24">
            <v>20</v>
          </cell>
          <cell r="J24">
            <v>15</v>
          </cell>
          <cell r="K24">
            <v>10</v>
          </cell>
          <cell r="L24" t="str">
            <v>Not Possible</v>
          </cell>
          <cell r="M24" t="str">
            <v>Not Possible</v>
          </cell>
        </row>
        <row r="25">
          <cell r="F25" t="str">
            <v>Grassland - Upland acid grassland</v>
          </cell>
          <cell r="G25">
            <v>15</v>
          </cell>
          <cell r="H25">
            <v>12</v>
          </cell>
          <cell r="I25">
            <v>10</v>
          </cell>
          <cell r="J25">
            <v>5</v>
          </cell>
          <cell r="K25">
            <v>1</v>
          </cell>
          <cell r="L25" t="str">
            <v>Not Possible</v>
          </cell>
          <cell r="M25" t="str">
            <v>Not Possible</v>
          </cell>
        </row>
        <row r="26">
          <cell r="F26" t="str">
            <v>Grassland - Upland calcareous grassland</v>
          </cell>
          <cell r="G26">
            <v>25</v>
          </cell>
          <cell r="H26">
            <v>20</v>
          </cell>
          <cell r="I26">
            <v>15</v>
          </cell>
          <cell r="J26">
            <v>12</v>
          </cell>
          <cell r="K26">
            <v>10</v>
          </cell>
          <cell r="L26" t="str">
            <v>Not Possible</v>
          </cell>
          <cell r="M26" t="str">
            <v>Not Possible</v>
          </cell>
        </row>
        <row r="27">
          <cell r="F27" t="str">
            <v>Grassland - Upland hay meadows</v>
          </cell>
          <cell r="G27">
            <v>20</v>
          </cell>
          <cell r="H27">
            <v>18</v>
          </cell>
          <cell r="I27">
            <v>15</v>
          </cell>
          <cell r="J27">
            <v>12</v>
          </cell>
          <cell r="K27">
            <v>10</v>
          </cell>
          <cell r="L27" t="str">
            <v>Not Possible</v>
          </cell>
          <cell r="M27" t="str">
            <v>Not Possible</v>
          </cell>
        </row>
        <row r="28">
          <cell r="F28" t="str">
            <v>Heathland and shrub - Blackthorn scrub</v>
          </cell>
          <cell r="G28">
            <v>7</v>
          </cell>
          <cell r="H28">
            <v>5</v>
          </cell>
          <cell r="I28">
            <v>3</v>
          </cell>
          <cell r="J28">
            <v>2</v>
          </cell>
          <cell r="K28">
            <v>1</v>
          </cell>
          <cell r="L28" t="str">
            <v>Not Possible</v>
          </cell>
          <cell r="M28" t="str">
            <v>Not Possible</v>
          </cell>
        </row>
        <row r="29">
          <cell r="F29" t="str">
            <v>Heathland and shrub - Bramble scrub</v>
          </cell>
          <cell r="G29">
            <v>5</v>
          </cell>
          <cell r="H29">
            <v>4</v>
          </cell>
          <cell r="I29">
            <v>3</v>
          </cell>
          <cell r="J29">
            <v>2</v>
          </cell>
          <cell r="K29">
            <v>1</v>
          </cell>
          <cell r="L29" t="str">
            <v>Not Possible</v>
          </cell>
          <cell r="M29" t="str">
            <v>Not Possible</v>
          </cell>
        </row>
        <row r="30">
          <cell r="F30" t="str">
            <v>Heathland and shrub - Gorse scrub</v>
          </cell>
          <cell r="G30">
            <v>10</v>
          </cell>
          <cell r="H30">
            <v>7</v>
          </cell>
          <cell r="I30">
            <v>5</v>
          </cell>
          <cell r="J30">
            <v>3</v>
          </cell>
          <cell r="K30">
            <v>1</v>
          </cell>
          <cell r="L30" t="str">
            <v>Not Possible</v>
          </cell>
          <cell r="M30" t="str">
            <v>Not Possible</v>
          </cell>
        </row>
        <row r="31">
          <cell r="F31" t="str">
            <v>Heathland and shrub - Hawthorn scrub</v>
          </cell>
          <cell r="G31">
            <v>7</v>
          </cell>
          <cell r="H31">
            <v>5</v>
          </cell>
          <cell r="I31">
            <v>3</v>
          </cell>
          <cell r="J31">
            <v>2</v>
          </cell>
          <cell r="K31">
            <v>1</v>
          </cell>
          <cell r="L31" t="str">
            <v>Not Possible</v>
          </cell>
          <cell r="M31" t="str">
            <v>Not Possible</v>
          </cell>
        </row>
        <row r="32">
          <cell r="F32" t="str">
            <v>Heathland and shrub - Hazel scrub</v>
          </cell>
          <cell r="G32">
            <v>15</v>
          </cell>
          <cell r="H32">
            <v>12</v>
          </cell>
          <cell r="I32">
            <v>10</v>
          </cell>
          <cell r="J32">
            <v>7</v>
          </cell>
          <cell r="K32">
            <v>5</v>
          </cell>
          <cell r="L32" t="str">
            <v>Not Possible</v>
          </cell>
          <cell r="M32" t="str">
            <v>Not Possible</v>
          </cell>
        </row>
        <row r="33">
          <cell r="F33" t="str">
            <v>Heathland and shrub - Lowland Heathland</v>
          </cell>
          <cell r="G33" t="str">
            <v>32+</v>
          </cell>
          <cell r="H33">
            <v>25</v>
          </cell>
          <cell r="I33">
            <v>20</v>
          </cell>
          <cell r="J33">
            <v>15</v>
          </cell>
          <cell r="K33">
            <v>10</v>
          </cell>
          <cell r="L33" t="str">
            <v>Not Possible</v>
          </cell>
          <cell r="M33" t="str">
            <v>Not Possible</v>
          </cell>
        </row>
        <row r="34">
          <cell r="F34" t="str">
            <v>Heathland and shrub - Mixed scrub</v>
          </cell>
          <cell r="G34">
            <v>7</v>
          </cell>
          <cell r="H34">
            <v>5</v>
          </cell>
          <cell r="I34">
            <v>3</v>
          </cell>
          <cell r="J34">
            <v>2</v>
          </cell>
          <cell r="K34">
            <v>1</v>
          </cell>
          <cell r="L34" t="str">
            <v>Not Possible</v>
          </cell>
          <cell r="M34" t="str">
            <v>Not Possible</v>
          </cell>
        </row>
        <row r="35">
          <cell r="F35" t="str">
            <v>Heathland and shrub - Mountain heaths and willow scrub</v>
          </cell>
          <cell r="G35" t="str">
            <v>32+</v>
          </cell>
          <cell r="H35" t="str">
            <v>32+</v>
          </cell>
          <cell r="I35">
            <v>25</v>
          </cell>
          <cell r="J35">
            <v>23</v>
          </cell>
          <cell r="K35">
            <v>15</v>
          </cell>
          <cell r="L35" t="str">
            <v>Not Possible</v>
          </cell>
          <cell r="M35" t="str">
            <v>Not Possible</v>
          </cell>
        </row>
        <row r="36">
          <cell r="F36" t="str">
            <v>Heathland and shrub - Rhododendron scrub</v>
          </cell>
          <cell r="G36">
            <v>7</v>
          </cell>
          <cell r="H36">
            <v>5</v>
          </cell>
          <cell r="I36">
            <v>3</v>
          </cell>
          <cell r="J36">
            <v>2</v>
          </cell>
          <cell r="K36">
            <v>1</v>
          </cell>
          <cell r="L36" t="str">
            <v>Not Possible</v>
          </cell>
          <cell r="M36" t="str">
            <v>Not Possible</v>
          </cell>
        </row>
        <row r="37">
          <cell r="F37" t="str">
            <v>Heathland and shrub - Sea buckthorn scrub (Annex 1)</v>
          </cell>
          <cell r="G37">
            <v>7</v>
          </cell>
          <cell r="H37">
            <v>5</v>
          </cell>
          <cell r="I37">
            <v>3</v>
          </cell>
          <cell r="J37">
            <v>2</v>
          </cell>
          <cell r="K37">
            <v>1</v>
          </cell>
          <cell r="L37" t="str">
            <v>Not Possible</v>
          </cell>
          <cell r="M37" t="str">
            <v>Not Possible</v>
          </cell>
        </row>
        <row r="38">
          <cell r="F38" t="str">
            <v>Heathland and shrub - Sea buckthorn scrub (other)</v>
          </cell>
          <cell r="G38">
            <v>7</v>
          </cell>
          <cell r="H38">
            <v>5</v>
          </cell>
          <cell r="I38">
            <v>3</v>
          </cell>
          <cell r="J38">
            <v>2</v>
          </cell>
          <cell r="K38">
            <v>1</v>
          </cell>
          <cell r="L38" t="str">
            <v>Not Possible</v>
          </cell>
          <cell r="M38" t="str">
            <v>Not Possible</v>
          </cell>
        </row>
        <row r="39">
          <cell r="F39" t="str">
            <v>Heathland and shrub - Upland Heathland</v>
          </cell>
          <cell r="G39">
            <v>30</v>
          </cell>
          <cell r="H39">
            <v>25</v>
          </cell>
          <cell r="I39">
            <v>20</v>
          </cell>
          <cell r="J39">
            <v>15</v>
          </cell>
          <cell r="K39">
            <v>10</v>
          </cell>
          <cell r="L39" t="str">
            <v>Not Possible</v>
          </cell>
          <cell r="M39" t="str">
            <v>Not Possible</v>
          </cell>
        </row>
        <row r="40">
          <cell r="F40" t="str">
            <v xml:space="preserve"> lakes - Aquifer fed naturally fluctuating water bodies</v>
          </cell>
          <cell r="G40">
            <v>30</v>
          </cell>
          <cell r="H40">
            <v>20</v>
          </cell>
          <cell r="I40">
            <v>15</v>
          </cell>
          <cell r="J40">
            <v>10</v>
          </cell>
          <cell r="K40">
            <v>1</v>
          </cell>
          <cell r="L40" t="str">
            <v>Not Possible</v>
          </cell>
          <cell r="M40" t="str">
            <v>Not Possible</v>
          </cell>
        </row>
        <row r="41">
          <cell r="F41" t="str">
            <v>Lakes - Ditches</v>
          </cell>
          <cell r="G41">
            <v>10</v>
          </cell>
          <cell r="H41">
            <v>7</v>
          </cell>
          <cell r="I41">
            <v>5</v>
          </cell>
          <cell r="J41">
            <v>3</v>
          </cell>
          <cell r="K41">
            <v>1</v>
          </cell>
          <cell r="L41" t="str">
            <v>Not Possible</v>
          </cell>
          <cell r="M41" t="str">
            <v>Not Possible</v>
          </cell>
        </row>
        <row r="42">
          <cell r="F42" t="str">
            <v>Lakes - High alkalinity lakes</v>
          </cell>
          <cell r="G42">
            <v>10</v>
          </cell>
          <cell r="H42">
            <v>7</v>
          </cell>
          <cell r="I42">
            <v>5</v>
          </cell>
          <cell r="J42">
            <v>3</v>
          </cell>
          <cell r="K42">
            <v>2</v>
          </cell>
          <cell r="L42" t="str">
            <v>Not Possible</v>
          </cell>
          <cell r="M42" t="str">
            <v>Not Possible</v>
          </cell>
        </row>
        <row r="43">
          <cell r="F43" t="str">
            <v>Lakes - Low alkalinity lakes</v>
          </cell>
          <cell r="G43">
            <v>30</v>
          </cell>
          <cell r="H43">
            <v>20</v>
          </cell>
          <cell r="I43">
            <v>15</v>
          </cell>
          <cell r="J43">
            <v>10</v>
          </cell>
          <cell r="K43">
            <v>5</v>
          </cell>
          <cell r="L43" t="str">
            <v>Not Possible</v>
          </cell>
          <cell r="M43" t="str">
            <v>Not Possible</v>
          </cell>
        </row>
        <row r="44">
          <cell r="F44" t="str">
            <v>Lakes - Marl Lakes</v>
          </cell>
          <cell r="G44">
            <v>20</v>
          </cell>
          <cell r="H44">
            <v>15</v>
          </cell>
          <cell r="I44">
            <v>10</v>
          </cell>
          <cell r="J44">
            <v>7</v>
          </cell>
          <cell r="K44">
            <v>5</v>
          </cell>
          <cell r="L44" t="str">
            <v>Not Possible</v>
          </cell>
          <cell r="M44" t="str">
            <v>Not Possible</v>
          </cell>
        </row>
        <row r="45">
          <cell r="F45" t="str">
            <v>Lakes - Moderate alkalinity lakes</v>
          </cell>
          <cell r="G45">
            <v>20</v>
          </cell>
          <cell r="H45">
            <v>15</v>
          </cell>
          <cell r="I45">
            <v>10</v>
          </cell>
          <cell r="J45">
            <v>7</v>
          </cell>
          <cell r="K45">
            <v>5</v>
          </cell>
          <cell r="L45" t="str">
            <v>Not Possible</v>
          </cell>
          <cell r="M45" t="str">
            <v>Not Possible</v>
          </cell>
        </row>
        <row r="46">
          <cell r="F46" t="str">
            <v>Lakes - Peat Lakes</v>
          </cell>
          <cell r="G46">
            <v>30</v>
          </cell>
          <cell r="H46">
            <v>20</v>
          </cell>
          <cell r="I46">
            <v>15</v>
          </cell>
          <cell r="J46">
            <v>10</v>
          </cell>
          <cell r="K46">
            <v>5</v>
          </cell>
          <cell r="L46" t="str">
            <v>Not Possible</v>
          </cell>
          <cell r="M46" t="str">
            <v>Not Possible</v>
          </cell>
        </row>
        <row r="47">
          <cell r="F47" t="str">
            <v xml:space="preserve"> Lakes - Ponds (Priority Habitat)</v>
          </cell>
          <cell r="G47">
            <v>10</v>
          </cell>
          <cell r="H47">
            <v>7</v>
          </cell>
          <cell r="I47">
            <v>5</v>
          </cell>
          <cell r="J47">
            <v>3</v>
          </cell>
          <cell r="K47">
            <v>2</v>
          </cell>
          <cell r="L47" t="str">
            <v>Not Possible</v>
          </cell>
          <cell r="M47" t="str">
            <v>Not Possible</v>
          </cell>
        </row>
        <row r="48">
          <cell r="F48" t="str">
            <v xml:space="preserve"> Lakes - Ponds (Non- Priority Habitat)</v>
          </cell>
          <cell r="G48">
            <v>5</v>
          </cell>
          <cell r="H48">
            <v>4</v>
          </cell>
          <cell r="I48">
            <v>3</v>
          </cell>
          <cell r="J48">
            <v>2</v>
          </cell>
          <cell r="K48">
            <v>1</v>
          </cell>
          <cell r="L48" t="str">
            <v>Not Possible</v>
          </cell>
          <cell r="M48" t="str">
            <v>Not Possible</v>
          </cell>
        </row>
        <row r="49">
          <cell r="F49" t="str">
            <v xml:space="preserve"> Lakes - Reservoirs</v>
          </cell>
          <cell r="G49">
            <v>10</v>
          </cell>
          <cell r="H49">
            <v>7</v>
          </cell>
          <cell r="I49">
            <v>5</v>
          </cell>
          <cell r="J49">
            <v>3</v>
          </cell>
          <cell r="K49">
            <v>1</v>
          </cell>
          <cell r="L49" t="str">
            <v>Not Possible</v>
          </cell>
          <cell r="M49" t="str">
            <v>Not Possible</v>
          </cell>
        </row>
        <row r="50">
          <cell r="F50" t="str">
            <v>Lakes - Temporary lakes, ponds and pools</v>
          </cell>
          <cell r="G50">
            <v>10</v>
          </cell>
          <cell r="H50">
            <v>7</v>
          </cell>
          <cell r="I50">
            <v>5</v>
          </cell>
          <cell r="J50">
            <v>3</v>
          </cell>
          <cell r="K50">
            <v>2</v>
          </cell>
          <cell r="L50" t="str">
            <v>Not Possible</v>
          </cell>
          <cell r="M50" t="str">
            <v>Not Possible</v>
          </cell>
        </row>
        <row r="51">
          <cell r="F51" t="str">
            <v>Sparsely vegetated land - Calaminarian grasslands</v>
          </cell>
          <cell r="G51">
            <v>10</v>
          </cell>
          <cell r="H51">
            <v>7</v>
          </cell>
          <cell r="I51">
            <v>5</v>
          </cell>
          <cell r="J51">
            <v>3</v>
          </cell>
          <cell r="K51">
            <v>2</v>
          </cell>
          <cell r="L51" t="str">
            <v>Not Possible</v>
          </cell>
          <cell r="M51" t="str">
            <v>Not Possible</v>
          </cell>
        </row>
        <row r="52">
          <cell r="F52" t="str">
            <v>Sparsely vegetated land - Coastal sand dunes</v>
          </cell>
          <cell r="G52">
            <v>20</v>
          </cell>
          <cell r="H52">
            <v>15</v>
          </cell>
          <cell r="I52">
            <v>10</v>
          </cell>
          <cell r="J52">
            <v>7</v>
          </cell>
          <cell r="K52">
            <v>5</v>
          </cell>
          <cell r="L52" t="str">
            <v>Not Possible</v>
          </cell>
          <cell r="M52" t="str">
            <v>Not Possible</v>
          </cell>
        </row>
        <row r="53">
          <cell r="F53" t="str">
            <v>Sparsely vegetated land - Coastal vegetated shingle</v>
          </cell>
          <cell r="G53">
            <v>20</v>
          </cell>
          <cell r="H53">
            <v>15</v>
          </cell>
          <cell r="I53">
            <v>10</v>
          </cell>
          <cell r="J53">
            <v>7</v>
          </cell>
          <cell r="K53">
            <v>5</v>
          </cell>
          <cell r="L53" t="str">
            <v>Not Possible</v>
          </cell>
          <cell r="M53" t="str">
            <v>Not Possible</v>
          </cell>
        </row>
        <row r="54">
          <cell r="F54" t="str">
            <v>Sparsely vegetated land - Ruderal/Ephemeral</v>
          </cell>
          <cell r="G54">
            <v>5</v>
          </cell>
          <cell r="H54">
            <v>4</v>
          </cell>
          <cell r="I54">
            <v>3</v>
          </cell>
          <cell r="J54">
            <v>2</v>
          </cell>
          <cell r="K54">
            <v>1</v>
          </cell>
          <cell r="L54" t="str">
            <v>Not Possible</v>
          </cell>
          <cell r="M54" t="str">
            <v>Not Possible</v>
          </cell>
        </row>
        <row r="55">
          <cell r="F55" t="str">
            <v>Sparsely vegetated land - Inland rock outcrop and scree habitats</v>
          </cell>
          <cell r="G55" t="str">
            <v>32+</v>
          </cell>
          <cell r="H55">
            <v>25</v>
          </cell>
          <cell r="I55">
            <v>20</v>
          </cell>
          <cell r="J55">
            <v>15</v>
          </cell>
          <cell r="K55">
            <v>10</v>
          </cell>
          <cell r="L55" t="str">
            <v>Not Possible</v>
          </cell>
          <cell r="M55" t="str">
            <v>Not Possible</v>
          </cell>
        </row>
        <row r="56">
          <cell r="F56" t="str">
            <v>Sparsely vegetated land - Limestone pavement</v>
          </cell>
          <cell r="G56" t="str">
            <v>32+</v>
          </cell>
          <cell r="H56" t="str">
            <v>32+</v>
          </cell>
          <cell r="I56" t="str">
            <v>32+</v>
          </cell>
          <cell r="J56" t="str">
            <v>32+</v>
          </cell>
          <cell r="K56" t="str">
            <v>32+</v>
          </cell>
          <cell r="L56" t="str">
            <v>Not Possible</v>
          </cell>
          <cell r="M56" t="str">
            <v>Not Possible</v>
          </cell>
        </row>
        <row r="57">
          <cell r="F57" t="str">
            <v>Sparsely vegetated land - Maritime cliff and slopes</v>
          </cell>
          <cell r="G57" t="str">
            <v>32+</v>
          </cell>
          <cell r="H57">
            <v>25</v>
          </cell>
          <cell r="I57">
            <v>15</v>
          </cell>
          <cell r="J57">
            <v>10</v>
          </cell>
          <cell r="K57">
            <v>5</v>
          </cell>
          <cell r="L57" t="str">
            <v>Not Possible</v>
          </cell>
          <cell r="M57" t="str">
            <v>Not Possible</v>
          </cell>
        </row>
        <row r="58">
          <cell r="F58" t="str">
            <v>Sparsely vegetated land - Other inland rock and scree</v>
          </cell>
          <cell r="G58">
            <v>20</v>
          </cell>
          <cell r="H58">
            <v>15</v>
          </cell>
          <cell r="I58">
            <v>10</v>
          </cell>
          <cell r="J58">
            <v>7</v>
          </cell>
          <cell r="K58">
            <v>5</v>
          </cell>
          <cell r="L58" t="str">
            <v>Not Possible</v>
          </cell>
          <cell r="M58" t="str">
            <v>Not Possible</v>
          </cell>
        </row>
        <row r="59">
          <cell r="F59" t="str">
            <v>Urban - Allotments</v>
          </cell>
          <cell r="G59">
            <v>1</v>
          </cell>
          <cell r="H59">
            <v>1</v>
          </cell>
          <cell r="I59">
            <v>1</v>
          </cell>
          <cell r="J59">
            <v>1</v>
          </cell>
          <cell r="K59">
            <v>1</v>
          </cell>
          <cell r="L59" t="str">
            <v>Not Possible</v>
          </cell>
          <cell r="M59" t="str">
            <v>Not Possible</v>
          </cell>
        </row>
        <row r="60">
          <cell r="F60" t="str">
            <v>Urban - Artificial lake or pond</v>
          </cell>
          <cell r="G60">
            <v>5</v>
          </cell>
          <cell r="H60">
            <v>4</v>
          </cell>
          <cell r="I60">
            <v>3</v>
          </cell>
          <cell r="J60">
            <v>2</v>
          </cell>
          <cell r="K60">
            <v>1</v>
          </cell>
          <cell r="L60" t="str">
            <v>Not Possible</v>
          </cell>
          <cell r="M60" t="str">
            <v>Not Possible</v>
          </cell>
        </row>
        <row r="61">
          <cell r="F61" t="str">
            <v>Urban - Artificial unvegetated, unsealed surface</v>
          </cell>
          <cell r="G61">
            <v>1</v>
          </cell>
          <cell r="H61">
            <v>1</v>
          </cell>
          <cell r="I61">
            <v>1</v>
          </cell>
          <cell r="J61">
            <v>1</v>
          </cell>
          <cell r="K61">
            <v>1</v>
          </cell>
          <cell r="L61" t="str">
            <v>Not Possible</v>
          </cell>
          <cell r="M61">
            <v>0</v>
          </cell>
        </row>
        <row r="62">
          <cell r="F62" t="str">
            <v>Urban - Bioswale</v>
          </cell>
          <cell r="G62">
            <v>3</v>
          </cell>
          <cell r="H62">
            <v>2</v>
          </cell>
          <cell r="I62">
            <v>1</v>
          </cell>
          <cell r="J62">
            <v>1</v>
          </cell>
          <cell r="K62">
            <v>1</v>
          </cell>
          <cell r="L62" t="str">
            <v>Not Possible</v>
          </cell>
          <cell r="M62" t="str">
            <v>Not Possible</v>
          </cell>
        </row>
        <row r="63">
          <cell r="F63" t="str">
            <v>Urban - Brown roof</v>
          </cell>
          <cell r="G63">
            <v>10</v>
          </cell>
          <cell r="H63">
            <v>7</v>
          </cell>
          <cell r="I63">
            <v>5</v>
          </cell>
          <cell r="J63">
            <v>3</v>
          </cell>
          <cell r="K63">
            <v>1</v>
          </cell>
          <cell r="L63" t="str">
            <v>Not Possible</v>
          </cell>
          <cell r="M63" t="str">
            <v>Not Possible</v>
          </cell>
        </row>
        <row r="64">
          <cell r="F64" t="str">
            <v>Urban - Built linear features</v>
          </cell>
          <cell r="G64" t="str">
            <v>Not Possible</v>
          </cell>
          <cell r="H64" t="str">
            <v>Not Possible</v>
          </cell>
          <cell r="I64" t="str">
            <v>Not Possible</v>
          </cell>
          <cell r="J64" t="str">
            <v>Not Possible</v>
          </cell>
          <cell r="K64" t="str">
            <v>Not Possible</v>
          </cell>
          <cell r="L64" t="str">
            <v>Not Possible</v>
          </cell>
          <cell r="M64">
            <v>0</v>
          </cell>
        </row>
        <row r="65">
          <cell r="F65" t="str">
            <v>Urban - Cemeteries and churchyards</v>
          </cell>
          <cell r="G65">
            <v>20</v>
          </cell>
          <cell r="H65">
            <v>17</v>
          </cell>
          <cell r="I65">
            <v>15</v>
          </cell>
          <cell r="J65">
            <v>12</v>
          </cell>
          <cell r="K65">
            <v>10</v>
          </cell>
          <cell r="L65" t="str">
            <v>Not Possible</v>
          </cell>
          <cell r="M65" t="str">
            <v>Not Possible</v>
          </cell>
        </row>
        <row r="66">
          <cell r="F66" t="str">
            <v>Urban - Developed land; sealed surface</v>
          </cell>
          <cell r="G66" t="str">
            <v>Not Possible</v>
          </cell>
          <cell r="H66" t="str">
            <v>Not Possible</v>
          </cell>
          <cell r="I66" t="str">
            <v>Not Possible</v>
          </cell>
          <cell r="J66" t="str">
            <v>Not Possible</v>
          </cell>
          <cell r="K66" t="str">
            <v>Not Possible</v>
          </cell>
          <cell r="L66" t="str">
            <v>Not Possible</v>
          </cell>
          <cell r="M66">
            <v>0</v>
          </cell>
        </row>
        <row r="67">
          <cell r="F67" t="str">
            <v>Urban - Extensive green roof</v>
          </cell>
          <cell r="G67">
            <v>5</v>
          </cell>
          <cell r="H67">
            <v>4</v>
          </cell>
          <cell r="I67">
            <v>3</v>
          </cell>
          <cell r="J67">
            <v>2</v>
          </cell>
          <cell r="K67">
            <v>1</v>
          </cell>
          <cell r="L67" t="str">
            <v>Not Possible</v>
          </cell>
          <cell r="M67" t="str">
            <v>Not Possible</v>
          </cell>
        </row>
        <row r="68">
          <cell r="F68" t="str">
            <v>Urban - Façade-bound green wall</v>
          </cell>
          <cell r="G68">
            <v>5</v>
          </cell>
          <cell r="H68">
            <v>4</v>
          </cell>
          <cell r="I68">
            <v>3</v>
          </cell>
          <cell r="J68">
            <v>2</v>
          </cell>
          <cell r="K68">
            <v>1</v>
          </cell>
          <cell r="L68" t="str">
            <v>Not Possible</v>
          </cell>
          <cell r="M68" t="str">
            <v>Not Possible</v>
          </cell>
        </row>
        <row r="69">
          <cell r="F69" t="str">
            <v>Urban - Ground based green wall</v>
          </cell>
          <cell r="G69">
            <v>5</v>
          </cell>
          <cell r="H69">
            <v>4</v>
          </cell>
          <cell r="I69">
            <v>3</v>
          </cell>
          <cell r="J69">
            <v>2</v>
          </cell>
          <cell r="K69">
            <v>1</v>
          </cell>
          <cell r="L69" t="str">
            <v>Not Possible</v>
          </cell>
          <cell r="M69" t="str">
            <v>Not Possible</v>
          </cell>
        </row>
        <row r="70">
          <cell r="F70" t="str">
            <v>Urban - Ground level planters</v>
          </cell>
          <cell r="G70">
            <v>1</v>
          </cell>
          <cell r="H70">
            <v>1</v>
          </cell>
          <cell r="I70">
            <v>1</v>
          </cell>
          <cell r="J70">
            <v>1</v>
          </cell>
          <cell r="K70">
            <v>1</v>
          </cell>
          <cell r="L70" t="str">
            <v>Not Possible</v>
          </cell>
          <cell r="M70" t="str">
            <v>Not Possible</v>
          </cell>
        </row>
        <row r="71">
          <cell r="F71" t="str">
            <v>Urban - Intensive green roof</v>
          </cell>
          <cell r="G71">
            <v>10</v>
          </cell>
          <cell r="H71">
            <v>8</v>
          </cell>
          <cell r="I71">
            <v>5</v>
          </cell>
          <cell r="J71">
            <v>3</v>
          </cell>
          <cell r="K71">
            <v>1</v>
          </cell>
          <cell r="L71" t="str">
            <v>Not Possible</v>
          </cell>
          <cell r="M71" t="str">
            <v>Not Possible</v>
          </cell>
        </row>
        <row r="72">
          <cell r="F72" t="str">
            <v>Urban - Introduced shrub</v>
          </cell>
          <cell r="G72">
            <v>1</v>
          </cell>
          <cell r="H72">
            <v>1</v>
          </cell>
          <cell r="I72">
            <v>1</v>
          </cell>
          <cell r="J72">
            <v>1</v>
          </cell>
          <cell r="K72">
            <v>1</v>
          </cell>
          <cell r="L72" t="str">
            <v>Not Possible</v>
          </cell>
          <cell r="M72" t="str">
            <v>Not Possible</v>
          </cell>
        </row>
        <row r="73">
          <cell r="F73" t="str">
            <v>Urban - Amenity grassland</v>
          </cell>
          <cell r="G73" t="str">
            <v>Not Possible</v>
          </cell>
          <cell r="H73" t="str">
            <v>Not Possible</v>
          </cell>
          <cell r="I73">
            <v>3</v>
          </cell>
          <cell r="J73">
            <v>2</v>
          </cell>
          <cell r="K73">
            <v>1</v>
          </cell>
          <cell r="L73" t="str">
            <v>Not Possible</v>
          </cell>
          <cell r="M73" t="str">
            <v>Not Possible</v>
          </cell>
        </row>
        <row r="74">
          <cell r="F74" t="str">
            <v>Urban - Open Mosaic Habitats on Previously Developed Land</v>
          </cell>
          <cell r="G74">
            <v>10</v>
          </cell>
          <cell r="H74">
            <v>7</v>
          </cell>
          <cell r="I74">
            <v>4</v>
          </cell>
          <cell r="J74">
            <v>2</v>
          </cell>
          <cell r="K74">
            <v>0</v>
          </cell>
          <cell r="L74" t="str">
            <v>Not Possible</v>
          </cell>
          <cell r="M74" t="str">
            <v>Not Possible</v>
          </cell>
        </row>
        <row r="75">
          <cell r="F75" t="str">
            <v>Urban - Orchard</v>
          </cell>
          <cell r="G75">
            <v>25</v>
          </cell>
          <cell r="H75">
            <v>20</v>
          </cell>
          <cell r="I75">
            <v>15</v>
          </cell>
          <cell r="J75">
            <v>10</v>
          </cell>
          <cell r="K75">
            <v>5</v>
          </cell>
          <cell r="L75" t="str">
            <v>Not Possible</v>
          </cell>
          <cell r="M75" t="str">
            <v>Not Possible</v>
          </cell>
        </row>
        <row r="76">
          <cell r="F76" t="str">
            <v>Urban - Rain garden</v>
          </cell>
          <cell r="G76">
            <v>1</v>
          </cell>
          <cell r="H76">
            <v>1</v>
          </cell>
          <cell r="I76">
            <v>1</v>
          </cell>
          <cell r="J76">
            <v>1</v>
          </cell>
          <cell r="K76">
            <v>1</v>
          </cell>
          <cell r="L76" t="str">
            <v>Not Possible</v>
          </cell>
          <cell r="M76" t="str">
            <v>Not Possible</v>
          </cell>
        </row>
        <row r="77">
          <cell r="F77" t="str">
            <v>Urban - Sand pit quarry or open cast mine</v>
          </cell>
          <cell r="G77">
            <v>1</v>
          </cell>
          <cell r="H77">
            <v>1</v>
          </cell>
          <cell r="I77">
            <v>1</v>
          </cell>
          <cell r="J77">
            <v>1</v>
          </cell>
          <cell r="K77">
            <v>1</v>
          </cell>
          <cell r="L77" t="str">
            <v>Not Possible</v>
          </cell>
          <cell r="M77" t="str">
            <v>Not Possible</v>
          </cell>
        </row>
        <row r="78">
          <cell r="F78" t="str">
            <v>Urban - Street Tree</v>
          </cell>
          <cell r="G78" t="str">
            <v>Not Possible</v>
          </cell>
          <cell r="H78" t="str">
            <v>Not Possible</v>
          </cell>
          <cell r="I78">
            <v>27</v>
          </cell>
          <cell r="J78" t="str">
            <v>Not Possible</v>
          </cell>
          <cell r="K78" t="str">
            <v>Not Possible</v>
          </cell>
          <cell r="L78" t="str">
            <v>Not Possible</v>
          </cell>
          <cell r="M78" t="str">
            <v>Not Possible</v>
          </cell>
        </row>
        <row r="79">
          <cell r="F79" t="str">
            <v>Urban - Suburban/ mosaic of developed/ natural surface</v>
          </cell>
          <cell r="G79">
            <v>5</v>
          </cell>
          <cell r="H79">
            <v>4</v>
          </cell>
          <cell r="I79">
            <v>3</v>
          </cell>
          <cell r="J79">
            <v>2</v>
          </cell>
          <cell r="K79">
            <v>1</v>
          </cell>
          <cell r="L79" t="str">
            <v>Not Possible</v>
          </cell>
          <cell r="M79" t="str">
            <v>Not Possible</v>
          </cell>
        </row>
        <row r="80">
          <cell r="F80" t="str">
            <v>Urban - Sustainable urban drainage feature</v>
          </cell>
          <cell r="G80">
            <v>5</v>
          </cell>
          <cell r="H80">
            <v>4</v>
          </cell>
          <cell r="I80">
            <v>3</v>
          </cell>
          <cell r="J80">
            <v>2</v>
          </cell>
          <cell r="K80">
            <v>1</v>
          </cell>
          <cell r="L80" t="str">
            <v>Not Possible</v>
          </cell>
          <cell r="M80" t="str">
            <v>Not Possible</v>
          </cell>
        </row>
        <row r="81">
          <cell r="F81" t="str">
            <v>Urban - Un-vegetated garden</v>
          </cell>
          <cell r="G81" t="str">
            <v>Not Possible</v>
          </cell>
          <cell r="H81" t="str">
            <v>Not Possible</v>
          </cell>
          <cell r="I81" t="str">
            <v>Not Possible</v>
          </cell>
          <cell r="J81" t="str">
            <v>Not Possible</v>
          </cell>
          <cell r="K81" t="str">
            <v>Not Possible</v>
          </cell>
          <cell r="L81" t="str">
            <v>Not Possible</v>
          </cell>
          <cell r="M81">
            <v>0</v>
          </cell>
        </row>
        <row r="82">
          <cell r="F82" t="str">
            <v>Urban - Vacant/derelict land/ bareground</v>
          </cell>
          <cell r="G82">
            <v>1</v>
          </cell>
          <cell r="H82">
            <v>1</v>
          </cell>
          <cell r="I82">
            <v>1</v>
          </cell>
          <cell r="J82">
            <v>1</v>
          </cell>
          <cell r="K82">
            <v>1</v>
          </cell>
          <cell r="L82" t="str">
            <v>Not Possible</v>
          </cell>
          <cell r="M82" t="str">
            <v>Not Possible</v>
          </cell>
        </row>
        <row r="83">
          <cell r="F83" t="str">
            <v>Urban - Vegetated garden</v>
          </cell>
          <cell r="G83">
            <v>5</v>
          </cell>
          <cell r="H83">
            <v>4</v>
          </cell>
          <cell r="I83">
            <v>3</v>
          </cell>
          <cell r="J83">
            <v>2</v>
          </cell>
          <cell r="K83">
            <v>1</v>
          </cell>
          <cell r="L83" t="str">
            <v>Not Possible</v>
          </cell>
          <cell r="M83" t="str">
            <v>Not Possible</v>
          </cell>
        </row>
        <row r="84">
          <cell r="F84" t="str">
            <v>Urban - Woodland</v>
          </cell>
          <cell r="G84" t="str">
            <v>32+</v>
          </cell>
          <cell r="H84">
            <v>30</v>
          </cell>
          <cell r="I84">
            <v>27</v>
          </cell>
          <cell r="J84">
            <v>25</v>
          </cell>
          <cell r="K84">
            <v>20</v>
          </cell>
          <cell r="L84" t="str">
            <v>Not Possible</v>
          </cell>
          <cell r="M84" t="str">
            <v>Not Possible</v>
          </cell>
        </row>
        <row r="85">
          <cell r="F85" t="str">
            <v>Wetland - Blanket bog</v>
          </cell>
          <cell r="G85" t="str">
            <v>32+</v>
          </cell>
          <cell r="H85" t="str">
            <v>32+</v>
          </cell>
          <cell r="I85">
            <v>30</v>
          </cell>
          <cell r="J85">
            <v>25</v>
          </cell>
          <cell r="K85">
            <v>15</v>
          </cell>
          <cell r="L85" t="str">
            <v>Not Possible</v>
          </cell>
          <cell r="M85" t="str">
            <v>Not Possible</v>
          </cell>
        </row>
        <row r="86">
          <cell r="F86" t="str">
            <v>Wetland - Depressions on Peat substrates (H7150)</v>
          </cell>
          <cell r="G86" t="str">
            <v>32+</v>
          </cell>
          <cell r="H86" t="str">
            <v>32+</v>
          </cell>
          <cell r="I86">
            <v>30</v>
          </cell>
          <cell r="J86">
            <v>25</v>
          </cell>
          <cell r="K86">
            <v>15</v>
          </cell>
          <cell r="L86" t="str">
            <v>Not Possible</v>
          </cell>
          <cell r="M86" t="str">
            <v>Not Possible</v>
          </cell>
        </row>
        <row r="87">
          <cell r="F87" t="str">
            <v>Wetland - Fens (upland and lowland)</v>
          </cell>
          <cell r="G87">
            <v>30</v>
          </cell>
          <cell r="H87">
            <v>25</v>
          </cell>
          <cell r="I87">
            <v>15</v>
          </cell>
          <cell r="J87">
            <v>12</v>
          </cell>
          <cell r="K87">
            <v>10</v>
          </cell>
          <cell r="L87" t="str">
            <v>Not Possible</v>
          </cell>
          <cell r="M87" t="str">
            <v>Not Possible</v>
          </cell>
        </row>
        <row r="88">
          <cell r="F88" t="str">
            <v>Wetland - Lowland raised bog</v>
          </cell>
          <cell r="G88" t="str">
            <v>32+</v>
          </cell>
          <cell r="H88" t="str">
            <v>32+</v>
          </cell>
          <cell r="I88">
            <v>30</v>
          </cell>
          <cell r="J88">
            <v>20</v>
          </cell>
          <cell r="K88">
            <v>15</v>
          </cell>
          <cell r="L88" t="str">
            <v>Not Possible</v>
          </cell>
          <cell r="M88" t="str">
            <v>Not Possible</v>
          </cell>
        </row>
        <row r="89">
          <cell r="F89" t="str">
            <v>Wetland – Oceanic Valley Mire[1] (D2.1)</v>
          </cell>
          <cell r="G89" t="str">
            <v>32+</v>
          </cell>
          <cell r="H89" t="str">
            <v>32+</v>
          </cell>
          <cell r="I89">
            <v>30</v>
          </cell>
          <cell r="J89">
            <v>20</v>
          </cell>
          <cell r="K89">
            <v>15</v>
          </cell>
          <cell r="L89" t="str">
            <v>Not Possible</v>
          </cell>
          <cell r="M89" t="str">
            <v>Not Possible</v>
          </cell>
        </row>
        <row r="90">
          <cell r="F90" t="str">
            <v>Wetland - Purple moor grass and rush pastures</v>
          </cell>
          <cell r="G90">
            <v>30</v>
          </cell>
          <cell r="H90">
            <v>25</v>
          </cell>
          <cell r="I90">
            <v>20</v>
          </cell>
          <cell r="J90">
            <v>15</v>
          </cell>
          <cell r="K90">
            <v>10</v>
          </cell>
          <cell r="L90" t="str">
            <v>Not Possible</v>
          </cell>
          <cell r="M90" t="str">
            <v>Not Possible</v>
          </cell>
        </row>
        <row r="91">
          <cell r="F91" t="str">
            <v>Wetland - Reedbeds</v>
          </cell>
          <cell r="G91">
            <v>15</v>
          </cell>
          <cell r="H91">
            <v>12</v>
          </cell>
          <cell r="I91">
            <v>10</v>
          </cell>
          <cell r="J91">
            <v>7</v>
          </cell>
          <cell r="K91">
            <v>5</v>
          </cell>
          <cell r="L91" t="str">
            <v>Not Possible</v>
          </cell>
          <cell r="M91" t="str">
            <v>Not Possible</v>
          </cell>
        </row>
        <row r="92">
          <cell r="F92" t="str">
            <v>Wetland - Transition mires and quaking bogs (H7140)</v>
          </cell>
          <cell r="G92" t="str">
            <v>32+</v>
          </cell>
          <cell r="H92" t="str">
            <v>32+</v>
          </cell>
          <cell r="I92">
            <v>30</v>
          </cell>
          <cell r="J92">
            <v>25</v>
          </cell>
          <cell r="K92">
            <v>15</v>
          </cell>
          <cell r="L92" t="str">
            <v>Not Possible</v>
          </cell>
          <cell r="M92" t="str">
            <v>Not Possible</v>
          </cell>
        </row>
        <row r="93">
          <cell r="F93" t="str">
            <v>Woodland and forest - Felled</v>
          </cell>
          <cell r="G93" t="str">
            <v>32+</v>
          </cell>
          <cell r="H93" t="str">
            <v>32+</v>
          </cell>
          <cell r="I93" t="str">
            <v>32+</v>
          </cell>
          <cell r="J93" t="str">
            <v>32+</v>
          </cell>
          <cell r="K93" t="str">
            <v>32+</v>
          </cell>
          <cell r="L93" t="str">
            <v>Not Possible</v>
          </cell>
          <cell r="M93" t="str">
            <v>Not Possible</v>
          </cell>
        </row>
        <row r="94">
          <cell r="F94" t="str">
            <v>Woodland and forest - Lowland beech and yew woodland</v>
          </cell>
          <cell r="G94" t="str">
            <v>32+</v>
          </cell>
          <cell r="H94" t="str">
            <v>32+</v>
          </cell>
          <cell r="I94" t="str">
            <v>32+</v>
          </cell>
          <cell r="J94" t="str">
            <v>32+</v>
          </cell>
          <cell r="K94" t="str">
            <v>32+</v>
          </cell>
          <cell r="L94" t="str">
            <v>Not Possible</v>
          </cell>
          <cell r="M94" t="str">
            <v>Not Possible</v>
          </cell>
        </row>
        <row r="95">
          <cell r="F95" t="str">
            <v>Woodland and forest - Lowland mixed deciduous woodland</v>
          </cell>
          <cell r="G95" t="str">
            <v>32+</v>
          </cell>
          <cell r="H95" t="str">
            <v>32+</v>
          </cell>
          <cell r="I95" t="str">
            <v>32+</v>
          </cell>
          <cell r="J95" t="str">
            <v>32+</v>
          </cell>
          <cell r="K95" t="str">
            <v>32+</v>
          </cell>
          <cell r="L95" t="str">
            <v>Not Possible</v>
          </cell>
          <cell r="M95" t="str">
            <v>Not Possible</v>
          </cell>
        </row>
        <row r="96">
          <cell r="F96" t="str">
            <v>Woodland and forest - Native pine woodlands</v>
          </cell>
          <cell r="G96" t="str">
            <v>32+</v>
          </cell>
          <cell r="H96" t="str">
            <v>32+</v>
          </cell>
          <cell r="I96" t="str">
            <v>32+</v>
          </cell>
          <cell r="J96">
            <v>30</v>
          </cell>
          <cell r="K96">
            <v>25</v>
          </cell>
          <cell r="L96" t="str">
            <v>Not Possible</v>
          </cell>
          <cell r="M96" t="str">
            <v>Not Possible</v>
          </cell>
        </row>
        <row r="97">
          <cell r="F97" t="str">
            <v>Woodland and forest - Other coniferous woodland</v>
          </cell>
          <cell r="G97" t="str">
            <v>32+</v>
          </cell>
          <cell r="H97" t="str">
            <v>32+</v>
          </cell>
          <cell r="I97">
            <v>25</v>
          </cell>
          <cell r="J97">
            <v>20</v>
          </cell>
          <cell r="K97">
            <v>15</v>
          </cell>
          <cell r="L97" t="str">
            <v>Not Possible</v>
          </cell>
          <cell r="M97" t="str">
            <v>Not Possible</v>
          </cell>
        </row>
        <row r="98">
          <cell r="F98" t="str">
            <v>Woodland and forest - Other Scot's Pine woodland</v>
          </cell>
          <cell r="G98" t="str">
            <v>32+</v>
          </cell>
          <cell r="H98" t="str">
            <v>32+</v>
          </cell>
          <cell r="I98" t="str">
            <v>32+</v>
          </cell>
          <cell r="J98">
            <v>25</v>
          </cell>
          <cell r="K98">
            <v>20</v>
          </cell>
          <cell r="L98" t="str">
            <v>Not Possible</v>
          </cell>
          <cell r="M98" t="str">
            <v>Not Possible</v>
          </cell>
        </row>
        <row r="99">
          <cell r="F99" t="str">
            <v>Woodland and forest - Other woodland; broadleaved</v>
          </cell>
          <cell r="G99" t="str">
            <v>32+</v>
          </cell>
          <cell r="H99" t="str">
            <v>32+</v>
          </cell>
          <cell r="I99">
            <v>30</v>
          </cell>
          <cell r="J99">
            <v>25</v>
          </cell>
          <cell r="K99">
            <v>20</v>
          </cell>
          <cell r="L99" t="str">
            <v>Not Possible</v>
          </cell>
          <cell r="M99" t="str">
            <v>Not Possible</v>
          </cell>
        </row>
        <row r="100">
          <cell r="F100" t="str">
            <v>Woodland and forest - Other woodland; mixed</v>
          </cell>
          <cell r="G100" t="str">
            <v>32+</v>
          </cell>
          <cell r="H100">
            <v>30</v>
          </cell>
          <cell r="I100">
            <v>25</v>
          </cell>
          <cell r="J100">
            <v>20</v>
          </cell>
          <cell r="K100">
            <v>15</v>
          </cell>
          <cell r="L100" t="str">
            <v>Not Possible</v>
          </cell>
          <cell r="M100" t="str">
            <v>Not Possible</v>
          </cell>
        </row>
        <row r="101">
          <cell r="F101" t="str">
            <v>Woodland and forest - Other woodland; Young Trees planted</v>
          </cell>
          <cell r="G101" t="str">
            <v>32+</v>
          </cell>
          <cell r="H101" t="str">
            <v>32+</v>
          </cell>
          <cell r="I101" t="str">
            <v>32+</v>
          </cell>
          <cell r="J101">
            <v>30</v>
          </cell>
          <cell r="K101">
            <v>25</v>
          </cell>
          <cell r="L101" t="str">
            <v>Not Possible</v>
          </cell>
          <cell r="M101" t="str">
            <v>Not Possible</v>
          </cell>
        </row>
        <row r="102">
          <cell r="F102" t="str">
            <v>Woodland and forest - Upland birchwoods</v>
          </cell>
          <cell r="G102" t="str">
            <v>32+</v>
          </cell>
          <cell r="H102">
            <v>30</v>
          </cell>
          <cell r="I102">
            <v>25</v>
          </cell>
          <cell r="J102">
            <v>20</v>
          </cell>
          <cell r="K102">
            <v>15</v>
          </cell>
          <cell r="L102" t="str">
            <v>Not Possible</v>
          </cell>
          <cell r="M102" t="str">
            <v>Not Possible</v>
          </cell>
        </row>
        <row r="103">
          <cell r="F103" t="str">
            <v>Woodland and forest - Upland mixed ashwoods</v>
          </cell>
          <cell r="G103" t="str">
            <v>32+</v>
          </cell>
          <cell r="H103" t="str">
            <v>32+</v>
          </cell>
          <cell r="I103" t="str">
            <v>32+</v>
          </cell>
          <cell r="J103">
            <v>30</v>
          </cell>
          <cell r="K103">
            <v>25</v>
          </cell>
          <cell r="L103" t="str">
            <v>Not Possible</v>
          </cell>
          <cell r="M103" t="str">
            <v>Not Possible</v>
          </cell>
        </row>
        <row r="104">
          <cell r="F104" t="str">
            <v>Woodland and forest - Upland oakwood</v>
          </cell>
          <cell r="G104" t="str">
            <v>32+</v>
          </cell>
          <cell r="H104" t="str">
            <v>32+</v>
          </cell>
          <cell r="I104" t="str">
            <v>32+</v>
          </cell>
          <cell r="J104" t="str">
            <v>32+</v>
          </cell>
          <cell r="K104" t="str">
            <v>32+</v>
          </cell>
          <cell r="L104" t="str">
            <v>Not Possible</v>
          </cell>
          <cell r="M104" t="str">
            <v>Not Possible</v>
          </cell>
        </row>
        <row r="105">
          <cell r="F105" t="str">
            <v>Woodland and forest - Wet woodland</v>
          </cell>
          <cell r="G105" t="str">
            <v>32+</v>
          </cell>
          <cell r="H105">
            <v>30</v>
          </cell>
          <cell r="I105">
            <v>25</v>
          </cell>
          <cell r="J105">
            <v>20</v>
          </cell>
          <cell r="K105">
            <v>15</v>
          </cell>
          <cell r="L105" t="str">
            <v>Not Possible</v>
          </cell>
          <cell r="M105" t="str">
            <v>Not Possible</v>
          </cell>
        </row>
        <row r="106">
          <cell r="F106" t="str">
            <v>Woodland and forest - Wood-pasture and parkland</v>
          </cell>
          <cell r="G106" t="str">
            <v>32+</v>
          </cell>
          <cell r="H106" t="str">
            <v>32+</v>
          </cell>
          <cell r="I106" t="str">
            <v>32+</v>
          </cell>
          <cell r="J106" t="str">
            <v>32+</v>
          </cell>
          <cell r="K106" t="str">
            <v>32+</v>
          </cell>
          <cell r="L106" t="str">
            <v>Not Possible</v>
          </cell>
          <cell r="M106" t="str">
            <v>Not Possible</v>
          </cell>
        </row>
        <row r="107">
          <cell r="F107" t="str">
            <v>Coastal lagoons - Coastal lagoons</v>
          </cell>
          <cell r="G107">
            <v>10</v>
          </cell>
          <cell r="H107">
            <v>8</v>
          </cell>
          <cell r="I107">
            <v>5</v>
          </cell>
          <cell r="J107">
            <v>3</v>
          </cell>
          <cell r="K107">
            <v>1</v>
          </cell>
          <cell r="L107" t="str">
            <v>Not Possible</v>
          </cell>
          <cell r="M107" t="str">
            <v>Not Possible</v>
          </cell>
        </row>
        <row r="108">
          <cell r="F108" t="str">
            <v>Rocky shore - High energy littoral rock</v>
          </cell>
          <cell r="G108">
            <v>15</v>
          </cell>
          <cell r="H108">
            <v>10</v>
          </cell>
          <cell r="I108">
            <v>5</v>
          </cell>
          <cell r="J108">
            <v>1</v>
          </cell>
          <cell r="K108">
            <v>1</v>
          </cell>
          <cell r="L108" t="str">
            <v>Not Possible</v>
          </cell>
          <cell r="M108" t="str">
            <v>Not Possible</v>
          </cell>
        </row>
        <row r="109">
          <cell r="F109" t="str">
            <v>Rocky shore - High energy littoral rock - on bedrock</v>
          </cell>
          <cell r="G109" t="str">
            <v>32+</v>
          </cell>
          <cell r="H109" t="str">
            <v>32+</v>
          </cell>
          <cell r="I109" t="str">
            <v>32+</v>
          </cell>
          <cell r="J109" t="str">
            <v>32+</v>
          </cell>
          <cell r="K109" t="str">
            <v>32+</v>
          </cell>
          <cell r="L109" t="str">
            <v>Not Possible</v>
          </cell>
          <cell r="M109" t="str">
            <v>Not Possible</v>
          </cell>
        </row>
        <row r="110">
          <cell r="F110" t="str">
            <v>Rocky shore - Moderate energy littoral rock</v>
          </cell>
          <cell r="G110">
            <v>15</v>
          </cell>
          <cell r="H110">
            <v>10</v>
          </cell>
          <cell r="I110">
            <v>5</v>
          </cell>
          <cell r="J110">
            <v>1</v>
          </cell>
          <cell r="K110">
            <v>1</v>
          </cell>
          <cell r="L110" t="str">
            <v>Not Possible</v>
          </cell>
          <cell r="M110" t="str">
            <v>Not Possible</v>
          </cell>
        </row>
        <row r="111">
          <cell r="F111" t="str">
            <v>Rocky shore - Moderate energy littoral rock - on bedrock</v>
          </cell>
          <cell r="G111" t="str">
            <v>32+</v>
          </cell>
          <cell r="H111" t="str">
            <v>32+</v>
          </cell>
          <cell r="I111" t="str">
            <v>32+</v>
          </cell>
          <cell r="J111" t="str">
            <v>32+</v>
          </cell>
          <cell r="K111" t="str">
            <v>32+</v>
          </cell>
          <cell r="L111" t="str">
            <v>Not Possible</v>
          </cell>
          <cell r="M111" t="str">
            <v>Not Possible</v>
          </cell>
        </row>
        <row r="112">
          <cell r="F112" t="str">
            <v>Rocky shore - Low energy littoral rock</v>
          </cell>
          <cell r="G112">
            <v>15</v>
          </cell>
          <cell r="H112">
            <v>10</v>
          </cell>
          <cell r="I112">
            <v>5</v>
          </cell>
          <cell r="J112">
            <v>1</v>
          </cell>
          <cell r="K112">
            <v>1</v>
          </cell>
          <cell r="L112" t="str">
            <v>Not Possible</v>
          </cell>
          <cell r="M112" t="str">
            <v>Not Possible</v>
          </cell>
        </row>
        <row r="113">
          <cell r="F113" t="str">
            <v>Rocky shore - Low energy littoral rock  - on bedrock</v>
          </cell>
          <cell r="G113" t="str">
            <v>32+</v>
          </cell>
          <cell r="H113" t="str">
            <v>32+</v>
          </cell>
          <cell r="I113" t="str">
            <v>32+</v>
          </cell>
          <cell r="J113" t="str">
            <v>32+</v>
          </cell>
          <cell r="K113" t="str">
            <v>32+</v>
          </cell>
          <cell r="L113" t="str">
            <v>Not Possible</v>
          </cell>
          <cell r="M113" t="str">
            <v>Not Possible</v>
          </cell>
        </row>
        <row r="114">
          <cell r="F114" t="str">
            <v>Rocky shore - Features of littoral rock</v>
          </cell>
          <cell r="G114">
            <v>15</v>
          </cell>
          <cell r="H114">
            <v>10</v>
          </cell>
          <cell r="I114">
            <v>5</v>
          </cell>
          <cell r="J114">
            <v>1</v>
          </cell>
          <cell r="K114">
            <v>1</v>
          </cell>
          <cell r="L114" t="str">
            <v>Not Possible</v>
          </cell>
          <cell r="M114" t="str">
            <v>Not Possible</v>
          </cell>
        </row>
        <row r="115">
          <cell r="F115" t="str">
            <v>Rocky shore - Features of littoral rock - on bedrock</v>
          </cell>
          <cell r="G115" t="str">
            <v>32+</v>
          </cell>
          <cell r="H115" t="str">
            <v>32+</v>
          </cell>
          <cell r="I115" t="str">
            <v>32+</v>
          </cell>
          <cell r="J115" t="str">
            <v>32+</v>
          </cell>
          <cell r="K115" t="str">
            <v>32+</v>
          </cell>
          <cell r="L115" t="str">
            <v>Not Possible</v>
          </cell>
          <cell r="M115" t="str">
            <v>Not Possible</v>
          </cell>
        </row>
        <row r="116">
          <cell r="F116" t="str">
            <v>Rocky shore - Artificial high energy littoral rock</v>
          </cell>
          <cell r="G116">
            <v>15</v>
          </cell>
          <cell r="H116">
            <v>10</v>
          </cell>
          <cell r="I116">
            <v>5</v>
          </cell>
          <cell r="J116">
            <v>1</v>
          </cell>
          <cell r="K116">
            <v>1</v>
          </cell>
          <cell r="L116" t="str">
            <v>Not Possible</v>
          </cell>
          <cell r="M116" t="str">
            <v>Not Possible</v>
          </cell>
        </row>
        <row r="117">
          <cell r="F117" t="str">
            <v>Rocky shore - Artificial moderate energy littoral rock</v>
          </cell>
          <cell r="G117">
            <v>15</v>
          </cell>
          <cell r="H117">
            <v>10</v>
          </cell>
          <cell r="I117">
            <v>5</v>
          </cell>
          <cell r="J117">
            <v>1</v>
          </cell>
          <cell r="K117">
            <v>1</v>
          </cell>
          <cell r="L117" t="str">
            <v>Not Possible</v>
          </cell>
          <cell r="M117" t="str">
            <v>Not Possible</v>
          </cell>
        </row>
        <row r="118">
          <cell r="F118" t="str">
            <v>Rocky shore - Artificial low energy littoral rock</v>
          </cell>
          <cell r="G118">
            <v>15</v>
          </cell>
          <cell r="H118">
            <v>10</v>
          </cell>
          <cell r="I118">
            <v>5</v>
          </cell>
          <cell r="J118">
            <v>1</v>
          </cell>
          <cell r="K118">
            <v>1</v>
          </cell>
          <cell r="L118" t="str">
            <v>Not Possible</v>
          </cell>
          <cell r="M118" t="str">
            <v>Not Possible</v>
          </cell>
        </row>
        <row r="119">
          <cell r="F119" t="str">
            <v>Rocky shore - Artificial features of littoral rock</v>
          </cell>
          <cell r="G119">
            <v>15</v>
          </cell>
          <cell r="H119">
            <v>10</v>
          </cell>
          <cell r="I119">
            <v>5</v>
          </cell>
          <cell r="J119">
            <v>1</v>
          </cell>
          <cell r="K119">
            <v>1</v>
          </cell>
          <cell r="L119" t="str">
            <v>Not Possible</v>
          </cell>
          <cell r="M119" t="str">
            <v>Not Possible</v>
          </cell>
        </row>
        <row r="120">
          <cell r="F120" t="str">
            <v>Intertidal sediment - Littoral coarse sediment</v>
          </cell>
          <cell r="G120">
            <v>3</v>
          </cell>
          <cell r="H120">
            <v>2</v>
          </cell>
          <cell r="I120">
            <v>1</v>
          </cell>
          <cell r="J120">
            <v>1</v>
          </cell>
          <cell r="K120">
            <v>1</v>
          </cell>
          <cell r="L120" t="str">
            <v>Not Possible</v>
          </cell>
          <cell r="M120" t="str">
            <v>Not Possible</v>
          </cell>
        </row>
        <row r="121">
          <cell r="F121" t="str">
            <v>Intertidal sediment - Littoral sand and muddy sand</v>
          </cell>
          <cell r="G121">
            <v>4</v>
          </cell>
          <cell r="H121">
            <v>3</v>
          </cell>
          <cell r="I121">
            <v>2</v>
          </cell>
          <cell r="J121">
            <v>2</v>
          </cell>
          <cell r="K121">
            <v>1</v>
          </cell>
          <cell r="L121" t="str">
            <v>Not Possible</v>
          </cell>
          <cell r="M121" t="str">
            <v>Not Possible</v>
          </cell>
        </row>
        <row r="122">
          <cell r="F122" t="str">
            <v>Intertidal sediment - Littoral mud</v>
          </cell>
          <cell r="G122">
            <v>6</v>
          </cell>
          <cell r="H122">
            <v>4</v>
          </cell>
          <cell r="I122">
            <v>3</v>
          </cell>
          <cell r="J122">
            <v>2</v>
          </cell>
          <cell r="K122">
            <v>1</v>
          </cell>
          <cell r="L122" t="str">
            <v>Not Possible</v>
          </cell>
          <cell r="M122" t="str">
            <v>Not Possible</v>
          </cell>
        </row>
        <row r="123">
          <cell r="F123" t="str">
            <v>Intertidal sediment - Littoral mixed sediments</v>
          </cell>
          <cell r="G123">
            <v>5</v>
          </cell>
          <cell r="H123">
            <v>4</v>
          </cell>
          <cell r="I123">
            <v>3</v>
          </cell>
          <cell r="J123">
            <v>2</v>
          </cell>
          <cell r="K123">
            <v>1</v>
          </cell>
          <cell r="L123" t="str">
            <v>Not Possible</v>
          </cell>
          <cell r="M123" t="str">
            <v>Not Possible</v>
          </cell>
        </row>
        <row r="124">
          <cell r="F124" t="str">
            <v>Coastal Saltmarsh -saltmarshes and saline reedbeds</v>
          </cell>
          <cell r="G124">
            <v>20</v>
          </cell>
          <cell r="H124">
            <v>15</v>
          </cell>
          <cell r="I124">
            <v>10</v>
          </cell>
          <cell r="J124">
            <v>5</v>
          </cell>
          <cell r="K124">
            <v>1</v>
          </cell>
          <cell r="L124" t="str">
            <v>Not Possible</v>
          </cell>
          <cell r="M124" t="str">
            <v>Not Possible</v>
          </cell>
        </row>
        <row r="125">
          <cell r="F125" t="str">
            <v>Intertidal sediment - Littoral sediments dominated by aquatic angiosperms</v>
          </cell>
          <cell r="G125">
            <v>20</v>
          </cell>
          <cell r="H125">
            <v>15</v>
          </cell>
          <cell r="I125">
            <v>10</v>
          </cell>
          <cell r="J125">
            <v>5</v>
          </cell>
          <cell r="K125">
            <v>2</v>
          </cell>
          <cell r="L125" t="str">
            <v>Not Possible</v>
          </cell>
          <cell r="M125" t="str">
            <v>Not Possible</v>
          </cell>
        </row>
        <row r="126">
          <cell r="F126" t="str">
            <v xml:space="preserve">Intertidal sediment - Littoral sediments dominated by aquatic angiosperms  - on bedrock </v>
          </cell>
          <cell r="G126" t="str">
            <v>32+</v>
          </cell>
          <cell r="H126" t="str">
            <v>32+</v>
          </cell>
          <cell r="I126" t="str">
            <v>32+</v>
          </cell>
          <cell r="J126" t="str">
            <v>32+</v>
          </cell>
          <cell r="K126" t="str">
            <v>32+</v>
          </cell>
          <cell r="L126" t="str">
            <v>Not Possible</v>
          </cell>
          <cell r="M126" t="str">
            <v>Not Possible</v>
          </cell>
        </row>
        <row r="127">
          <cell r="F127" t="str">
            <v>Intertidal sediment - Littoral biogenic reefs</v>
          </cell>
          <cell r="G127">
            <v>15</v>
          </cell>
          <cell r="H127">
            <v>10</v>
          </cell>
          <cell r="I127">
            <v>5</v>
          </cell>
          <cell r="J127">
            <v>3</v>
          </cell>
          <cell r="K127">
            <v>3</v>
          </cell>
          <cell r="L127" t="str">
            <v>Not Possible</v>
          </cell>
          <cell r="M127" t="str">
            <v>Not Possible</v>
          </cell>
        </row>
        <row r="128">
          <cell r="F128" t="str">
            <v>Intertidal sediment - Littoral biogenic reefs - on bedrock</v>
          </cell>
          <cell r="G128" t="str">
            <v>32+</v>
          </cell>
          <cell r="H128" t="str">
            <v>32+</v>
          </cell>
          <cell r="I128" t="str">
            <v>32+</v>
          </cell>
          <cell r="J128" t="str">
            <v>32+</v>
          </cell>
          <cell r="K128" t="str">
            <v>32+</v>
          </cell>
          <cell r="L128" t="str">
            <v>Not Possible</v>
          </cell>
          <cell r="M128" t="str">
            <v>Not Possible</v>
          </cell>
        </row>
        <row r="129">
          <cell r="F129" t="str">
            <v>Intertidal sediment - Features of littoral sediment</v>
          </cell>
          <cell r="G129">
            <v>10</v>
          </cell>
          <cell r="H129">
            <v>7</v>
          </cell>
          <cell r="I129">
            <v>5</v>
          </cell>
          <cell r="J129">
            <v>3</v>
          </cell>
          <cell r="K129">
            <v>3</v>
          </cell>
          <cell r="L129" t="str">
            <v>Not Possible</v>
          </cell>
          <cell r="M129" t="str">
            <v>Not Possible</v>
          </cell>
        </row>
        <row r="130">
          <cell r="F130" t="str">
            <v>Intertidal sediment - Artificial littoral coarse sediment</v>
          </cell>
          <cell r="G130">
            <v>3</v>
          </cell>
          <cell r="H130">
            <v>2</v>
          </cell>
          <cell r="I130">
            <v>1</v>
          </cell>
          <cell r="J130">
            <v>1</v>
          </cell>
          <cell r="K130">
            <v>1</v>
          </cell>
          <cell r="L130" t="str">
            <v>Not Possible</v>
          </cell>
          <cell r="M130" t="str">
            <v>Not Possible</v>
          </cell>
        </row>
        <row r="131">
          <cell r="F131" t="str">
            <v>Intertidal sediment - Artificial littoral sand and muddy sand</v>
          </cell>
          <cell r="G131">
            <v>4</v>
          </cell>
          <cell r="H131">
            <v>3</v>
          </cell>
          <cell r="I131">
            <v>2</v>
          </cell>
          <cell r="J131">
            <v>2</v>
          </cell>
          <cell r="K131">
            <v>1</v>
          </cell>
          <cell r="L131" t="str">
            <v>Not Possible</v>
          </cell>
          <cell r="M131" t="str">
            <v>Not Possible</v>
          </cell>
        </row>
        <row r="132">
          <cell r="F132" t="str">
            <v>Intertidal sediment - Artificial littoral mud</v>
          </cell>
          <cell r="G132">
            <v>6</v>
          </cell>
          <cell r="H132">
            <v>4</v>
          </cell>
          <cell r="I132">
            <v>3</v>
          </cell>
          <cell r="J132">
            <v>2</v>
          </cell>
          <cell r="K132">
            <v>1</v>
          </cell>
          <cell r="L132" t="str">
            <v>Not Possible</v>
          </cell>
          <cell r="M132" t="str">
            <v>Not Possible</v>
          </cell>
        </row>
        <row r="133">
          <cell r="F133" t="str">
            <v>Intertidal sediment - Artificial littoral mixed sediments</v>
          </cell>
          <cell r="G133">
            <v>5</v>
          </cell>
          <cell r="H133">
            <v>4</v>
          </cell>
          <cell r="I133">
            <v>3</v>
          </cell>
          <cell r="J133">
            <v>2</v>
          </cell>
          <cell r="K133">
            <v>1</v>
          </cell>
          <cell r="L133" t="str">
            <v>Not Possible</v>
          </cell>
          <cell r="M133" t="str">
            <v>Not Possible</v>
          </cell>
        </row>
        <row r="134">
          <cell r="F134" t="str">
            <v>Intertidal sediment - Artificial littoral sediments dominated by aquatic angiosperms</v>
          </cell>
          <cell r="G134">
            <v>20</v>
          </cell>
          <cell r="H134">
            <v>15</v>
          </cell>
          <cell r="I134">
            <v>10</v>
          </cell>
          <cell r="J134">
            <v>5</v>
          </cell>
          <cell r="K134">
            <v>2</v>
          </cell>
          <cell r="L134" t="str">
            <v>Not Possible</v>
          </cell>
          <cell r="M134" t="str">
            <v>Not Possible</v>
          </cell>
        </row>
        <row r="135">
          <cell r="F135" t="str">
            <v>Intertidal sediment - Artificial littoral biogenic reefs</v>
          </cell>
          <cell r="G135">
            <v>15</v>
          </cell>
          <cell r="H135">
            <v>10</v>
          </cell>
          <cell r="I135">
            <v>5</v>
          </cell>
          <cell r="J135">
            <v>3</v>
          </cell>
          <cell r="K135">
            <v>3</v>
          </cell>
          <cell r="L135" t="str">
            <v>Not Possible</v>
          </cell>
          <cell r="M135" t="str">
            <v>Not Possible</v>
          </cell>
        </row>
        <row r="136">
          <cell r="F136" t="str">
            <v>Intertidal sediment - Artificial features of littoral sediment</v>
          </cell>
          <cell r="G136">
            <v>10</v>
          </cell>
          <cell r="H136">
            <v>7</v>
          </cell>
          <cell r="I136">
            <v>5</v>
          </cell>
          <cell r="J136">
            <v>3</v>
          </cell>
          <cell r="K136">
            <v>3</v>
          </cell>
          <cell r="L136" t="str">
            <v>Not Possible</v>
          </cell>
          <cell r="M136" t="str">
            <v>Not Possible</v>
          </cell>
        </row>
        <row r="137">
          <cell r="F137">
            <v>0</v>
          </cell>
        </row>
        <row r="138">
          <cell r="F138">
            <v>0</v>
          </cell>
        </row>
      </sheetData>
      <sheetData sheetId="32"/>
      <sheetData sheetId="33"/>
      <sheetData sheetId="34"/>
      <sheetData sheetId="35"/>
      <sheetData sheetId="36"/>
      <sheetData sheetId="37"/>
      <sheetData sheetId="38"/>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35D5FC-C011-4B60-A352-935A1393017A}" name="Table1" displayName="Table1" ref="A1:A11" totalsRowShown="0" headerRowDxfId="73" headerRowBorderDxfId="72" tableBorderDxfId="71" totalsRowBorderDxfId="70">
  <autoFilter ref="A1:A11" xr:uid="{D3D48E5C-DC0B-41A4-A0A0-527C1359656D}"/>
  <tableColumns count="1">
    <tableColumn id="1" xr3:uid="{520E3FA0-67BF-4785-A0AD-C78B48FCFF4F}" name="Broadhabitattype" dataDxfId="69"/>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19284BE-7089-4580-A599-F8E788E3582D}" name="Table10" displayName="Table10" ref="S1:S5" totalsRowShown="0" headerRowDxfId="29" headerRowBorderDxfId="28" tableBorderDxfId="27" totalsRowBorderDxfId="26">
  <autoFilter ref="S1:S5" xr:uid="{30F074BA-9A05-4036-B433-08ADAAF4B4D6}"/>
  <tableColumns count="1">
    <tableColumn id="1" xr3:uid="{E418E0FC-1774-4279-88F2-AFFD97CEAA34}" name="Woodlandandforest" dataDxfId="25"/>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FF9302B-9721-4616-ADA8-13191354FA9A}" name="Table11" displayName="Table11" ref="U1:U10" totalsRowShown="0" headerRowDxfId="24" headerRowBorderDxfId="23" tableBorderDxfId="22" totalsRowBorderDxfId="21">
  <autoFilter ref="U1:U10" xr:uid="{C184E532-E77C-4872-89E0-8E85C5B1D65C}"/>
  <tableColumns count="1">
    <tableColumn id="1" xr3:uid="{13BB9483-7385-4659-8AAD-FDCAD7546C50}" name="HedgerowsandLinesoftrees" dataDxfId="20"/>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6C067BD-46D8-4B20-A823-A2D5CF8C96E2}" name="Table12" displayName="Table12" ref="W1:W5" totalsRowShown="0" headerRowDxfId="19" headerRowBorderDxfId="18" tableBorderDxfId="17" totalsRowBorderDxfId="16">
  <autoFilter ref="W1:W5" xr:uid="{9B1AD1A4-0D15-4CE8-AEA8-06A4E9EF94B6}"/>
  <tableColumns count="1">
    <tableColumn id="1" xr3:uid="{DBBD35C5-EECC-4041-95E4-573CBFBFA8F1}" name="Lineoftrees" dataDxfId="15"/>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0DB976-D6A9-4562-B863-7AC5E0F9F6C4}" name="Table13" displayName="Table13" ref="Y1:Y11" totalsRowShown="0" headerRowDxfId="14" headerRowBorderDxfId="13" tableBorderDxfId="12" totalsRowBorderDxfId="11">
  <autoFilter ref="Y1:Y11" xr:uid="{54F032EE-B464-4AEB-BB7D-CACE48062226}"/>
  <tableColumns count="1">
    <tableColumn id="1" xr3:uid="{E7EC9414-85BB-4D8B-84A7-C259CAFC4970}" name="Watercourses" dataDxfId="10"/>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C37B08A-9F8E-4429-B27A-BC6971F715BA}" name="Table15" displayName="Table15" ref="AA1:AA2" totalsRowShown="0" headerRowDxfId="9" headerRowBorderDxfId="8" tableBorderDxfId="7" totalsRowBorderDxfId="6">
  <autoFilter ref="AA1:AA2" xr:uid="{C64B59BF-D198-400E-9C6C-CB6989FBD588}"/>
  <tableColumns count="1">
    <tableColumn id="1" xr3:uid="{17A67DAE-E9E9-4299-B10B-B8A5BA9F3223}" name="Coastalsaltmarsh" dataDxfId="5"/>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1EEA68B-5F0F-4FD5-BC78-52500D979E9E}" name="Table1515" displayName="Table1515" ref="AC1:AC3" totalsRowShown="0" headerRowDxfId="4" headerRowBorderDxfId="3" tableBorderDxfId="2" totalsRowBorderDxfId="1">
  <autoFilter ref="AC1:AC3" xr:uid="{A1EEA68B-5F0F-4FD5-BC78-52500D979E9E}"/>
  <tableColumns count="1">
    <tableColumn id="1" xr3:uid="{C5904444-F3B6-4000-BCFD-109B9DBB2003}" name="Individualtrees" data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FFFC59A-48EE-47F6-B2FD-AA7FE5AD09F2}" name="Table2" displayName="Table2" ref="C1:C11" totalsRowShown="0" headerRowDxfId="68" headerRowBorderDxfId="67" tableBorderDxfId="66" totalsRowBorderDxfId="65">
  <autoFilter ref="C1:C11" xr:uid="{EBAB9D5E-B0CF-4D1D-ADB7-E5493557887B}"/>
  <tableColumns count="1">
    <tableColumn id="1" xr3:uid="{7B1F58A2-C65F-4A69-B2AC-B9D36F77D859}" name="Cropland" dataDxfId="6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CA4230-181C-42C2-81DC-7118EEC9E7D6}" name="Table3" displayName="Table3" ref="E1:E6" totalsRowShown="0" headerRowDxfId="63" headerRowBorderDxfId="62" tableBorderDxfId="61" totalsRowBorderDxfId="60">
  <autoFilter ref="E1:E6" xr:uid="{9B064C4C-4D73-4D0F-9BDF-647780F59E66}"/>
  <tableColumns count="1">
    <tableColumn id="1" xr3:uid="{435B0EB9-C4DC-435C-8E01-4D49B6A757E3}" name="Grassland" dataDxfId="5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96956F7-2286-4410-B6A4-5F7C664CB58D}" name="Table4" displayName="Table4" ref="G1:G10" totalsRowShown="0" headerRowDxfId="58" headerRowBorderDxfId="57" tableBorderDxfId="56" totalsRowBorderDxfId="55">
  <autoFilter ref="G1:G10" xr:uid="{A85BEA36-76EB-4A0E-A53F-61D293877434}"/>
  <tableColumns count="1">
    <tableColumn id="1" xr3:uid="{4DB9D90D-064B-4D7C-BA34-C168290E28EA}" name="Heathlandandshrub" dataDxfId="5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33E2DF2-3104-41A7-A173-6CE05FC94E21}" name="Table5" displayName="Table5" ref="I1:I4" totalsRowShown="0" headerRowDxfId="53" headerRowBorderDxfId="52" tableBorderDxfId="51" totalsRowBorderDxfId="50">
  <autoFilter ref="I1:I4" xr:uid="{C6C9FE5A-CC8A-40B8-8EA0-DB758CFDE554}"/>
  <tableColumns count="1">
    <tableColumn id="1" xr3:uid="{C0FE31C6-CA6F-4DE0-AFB8-FFF60A016160}" name="Intertidalhardstructures" dataDxfId="49"/>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0694F6D-D6F2-43B2-8079-DD869124D9F2}" name="Table6" displayName="Table6" ref="K1:K10" totalsRowShown="0" headerRowDxfId="48" headerRowBorderDxfId="47" tableBorderDxfId="46" totalsRowBorderDxfId="45">
  <autoFilter ref="K1:K10" xr:uid="{7797F585-D0F9-47FE-BA9D-388927B61768}"/>
  <tableColumns count="1">
    <tableColumn id="1" xr3:uid="{75E4C119-EC80-44EC-8E72-378235CE41D5}" name="Intertidalsediment" dataDxfId="4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1084920-227B-4CD8-9155-9D7358082D42}" name="Table7" displayName="Table7" ref="M1:M4" totalsRowShown="0" headerRowDxfId="43" headerRowBorderDxfId="42" tableBorderDxfId="41" totalsRowBorderDxfId="40">
  <autoFilter ref="M1:M4" xr:uid="{ACDCCD93-F593-4714-B731-26DAF0559CC2}"/>
  <tableColumns count="1">
    <tableColumn id="1" xr3:uid="{EC598AF1-76EB-4F02-9796-356409435C67}" name="Lakes" dataDxfId="39"/>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7379091-7BB9-43C9-B2E9-033C59662BFA}" name="Table8" displayName="Table8" ref="O1:O4" totalsRowShown="0" headerRowDxfId="38" headerRowBorderDxfId="37" tableBorderDxfId="36" totalsRowBorderDxfId="35">
  <autoFilter ref="O1:O4" xr:uid="{06565177-E6FD-4060-84C1-DCDB30853380}"/>
  <tableColumns count="1">
    <tableColumn id="1" xr3:uid="{3C6E3C71-F522-45BE-9240-4481396A4DC1}" name="Sparselyvegetatedland"/>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379318B-B8DD-4D9A-ABC9-CA0D5FEC3ECA}" name="Table9" displayName="Table9" ref="Q1:Q21" totalsRowShown="0" headerRowDxfId="34" headerRowBorderDxfId="33" tableBorderDxfId="32" totalsRowBorderDxfId="31">
  <autoFilter ref="Q1:Q21" xr:uid="{01B2E67C-1501-41B2-8D62-A3A34C54A10D}"/>
  <tableColumns count="1">
    <tableColumn id="1" xr3:uid="{8CCDD882-E68F-4342-BB3A-C070B69D5CD8}" name="Urban" dataDxfId="30"/>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1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62E2A-BF3A-4C36-9C2F-D7B562664B79}">
  <sheetPr codeName="Sheet5">
    <tabColor theme="0" tint="-0.249977111117893"/>
    <pageSetUpPr fitToPage="1"/>
  </sheetPr>
  <dimension ref="A1:AD94"/>
  <sheetViews>
    <sheetView showRowColHeaders="0" tabSelected="1" zoomScale="80" zoomScaleNormal="80" workbookViewId="0"/>
  </sheetViews>
  <sheetFormatPr defaultColWidth="0" defaultRowHeight="14.4" zeroHeight="1" x14ac:dyDescent="0.3"/>
  <cols>
    <col min="1" max="1" width="3.5546875" customWidth="1"/>
    <col min="2" max="6" width="8.77734375" customWidth="1"/>
    <col min="7" max="7" width="11.77734375" customWidth="1"/>
    <col min="8" max="8" width="8.77734375" customWidth="1"/>
    <col min="9" max="9" width="12.77734375" customWidth="1"/>
    <col min="10" max="10" width="14.77734375" customWidth="1"/>
    <col min="11" max="18" width="8.77734375" customWidth="1"/>
    <col min="19" max="19" width="3.77734375" customWidth="1"/>
    <col min="20" max="30" width="8.77734375" hidden="1" customWidth="1"/>
    <col min="31" max="16384" width="8.77734375" hidden="1"/>
  </cols>
  <sheetData>
    <row r="1" spans="1:30" x14ac:dyDescent="0.3">
      <c r="A1" s="25"/>
      <c r="B1" s="25"/>
      <c r="C1" s="25"/>
      <c r="D1" s="572"/>
      <c r="E1" s="572"/>
      <c r="F1" s="572"/>
      <c r="G1" s="572"/>
      <c r="H1" s="572"/>
      <c r="I1" s="572"/>
      <c r="J1" s="572"/>
      <c r="K1" s="25"/>
      <c r="L1" s="25"/>
      <c r="M1" s="25"/>
      <c r="N1" s="25"/>
      <c r="O1" s="25"/>
      <c r="P1" s="25"/>
      <c r="Q1" s="25"/>
      <c r="R1" s="25"/>
      <c r="S1" s="25"/>
      <c r="T1" s="25"/>
      <c r="U1" s="25"/>
      <c r="V1" s="25"/>
      <c r="W1" s="25"/>
      <c r="X1" s="25"/>
      <c r="Y1" s="25"/>
      <c r="Z1" s="25"/>
      <c r="AA1" s="25"/>
      <c r="AB1" s="25"/>
      <c r="AC1" s="25"/>
      <c r="AD1" s="25"/>
    </row>
    <row r="2" spans="1:30" x14ac:dyDescent="0.3">
      <c r="A2" s="25"/>
      <c r="B2" s="25"/>
      <c r="C2" s="25"/>
      <c r="D2" s="572"/>
      <c r="E2" s="572"/>
      <c r="F2" s="572"/>
      <c r="G2" s="572"/>
      <c r="H2" s="572"/>
      <c r="I2" s="572"/>
      <c r="J2" s="572"/>
      <c r="K2" s="25"/>
      <c r="L2" s="25"/>
      <c r="M2" s="25"/>
      <c r="N2" s="25"/>
      <c r="O2" s="25"/>
      <c r="P2" s="25"/>
      <c r="Q2" s="25"/>
      <c r="R2" s="25"/>
      <c r="S2" s="25"/>
      <c r="T2" s="25"/>
      <c r="U2" s="25"/>
      <c r="V2" s="25"/>
      <c r="W2" s="25"/>
      <c r="X2" s="25"/>
      <c r="Y2" s="25"/>
      <c r="Z2" s="25"/>
      <c r="AA2" s="25"/>
      <c r="AB2" s="25"/>
      <c r="AC2" s="25"/>
      <c r="AD2" s="25"/>
    </row>
    <row r="3" spans="1:30" x14ac:dyDescent="0.3">
      <c r="A3" s="25"/>
      <c r="B3" s="25"/>
      <c r="C3" s="25"/>
      <c r="D3" s="572"/>
      <c r="E3" s="572"/>
      <c r="F3" s="572"/>
      <c r="G3" s="572"/>
      <c r="H3" s="572"/>
      <c r="I3" s="572"/>
      <c r="J3" s="572"/>
      <c r="K3" s="25"/>
      <c r="L3" s="25"/>
      <c r="M3" s="25"/>
      <c r="N3" s="25"/>
      <c r="O3" s="25"/>
      <c r="P3" s="25"/>
      <c r="Q3" s="25"/>
      <c r="R3" s="25"/>
      <c r="S3" s="25"/>
      <c r="T3" s="25"/>
      <c r="U3" s="25"/>
      <c r="V3" s="25"/>
      <c r="W3" s="25"/>
      <c r="X3" s="25"/>
      <c r="Y3" s="25"/>
      <c r="Z3" s="25"/>
      <c r="AA3" s="25"/>
      <c r="AB3" s="25"/>
      <c r="AC3" s="25"/>
      <c r="AD3" s="25"/>
    </row>
    <row r="4" spans="1:30" x14ac:dyDescent="0.3">
      <c r="A4" s="25"/>
      <c r="B4" s="25"/>
      <c r="C4" s="25"/>
      <c r="D4" s="572"/>
      <c r="E4" s="572"/>
      <c r="F4" s="572"/>
      <c r="G4" s="572"/>
      <c r="H4" s="572"/>
      <c r="I4" s="572"/>
      <c r="J4" s="572"/>
      <c r="K4" s="25"/>
      <c r="L4" s="25"/>
      <c r="M4" s="25"/>
      <c r="N4" s="25"/>
      <c r="O4" s="25"/>
      <c r="P4" s="25"/>
      <c r="Q4" s="25"/>
      <c r="R4" s="25"/>
      <c r="S4" s="25"/>
      <c r="T4" s="25"/>
      <c r="U4" s="25"/>
      <c r="V4" s="25"/>
      <c r="W4" s="25"/>
      <c r="X4" s="25"/>
      <c r="Y4" s="25"/>
      <c r="Z4" s="25"/>
      <c r="AA4" s="25"/>
      <c r="AB4" s="25"/>
      <c r="AC4" s="25"/>
      <c r="AD4" s="25"/>
    </row>
    <row r="5" spans="1:30" x14ac:dyDescent="0.3">
      <c r="A5" s="25"/>
      <c r="B5" s="25"/>
      <c r="C5" s="25"/>
      <c r="D5" s="572"/>
      <c r="E5" s="572"/>
      <c r="F5" s="572"/>
      <c r="G5" s="572"/>
      <c r="H5" s="572"/>
      <c r="I5" s="572"/>
      <c r="J5" s="572"/>
      <c r="K5" s="25"/>
      <c r="L5" s="25"/>
      <c r="M5" s="25"/>
      <c r="N5" s="25"/>
      <c r="O5" s="25"/>
      <c r="P5" s="25"/>
      <c r="Q5" s="25"/>
      <c r="R5" s="25"/>
      <c r="S5" s="25"/>
      <c r="T5" s="25"/>
      <c r="U5" s="25"/>
      <c r="V5" s="25"/>
      <c r="W5" s="25"/>
      <c r="X5" s="25"/>
      <c r="Y5" s="25"/>
      <c r="Z5" s="25"/>
      <c r="AA5" s="25"/>
      <c r="AB5" s="25"/>
      <c r="AC5" s="25"/>
      <c r="AD5" s="25"/>
    </row>
    <row r="6" spans="1:30" x14ac:dyDescent="0.3">
      <c r="A6" s="157" t="s">
        <v>0</v>
      </c>
      <c r="B6" s="574" t="s">
        <v>1027</v>
      </c>
      <c r="C6" s="575"/>
      <c r="D6" s="575"/>
      <c r="E6" s="575"/>
      <c r="F6" s="575"/>
      <c r="G6" s="575"/>
      <c r="H6" s="575"/>
      <c r="I6" s="575"/>
      <c r="J6" s="575"/>
      <c r="K6" s="25"/>
      <c r="L6" s="25"/>
      <c r="M6" s="25"/>
      <c r="N6" s="25"/>
      <c r="O6" s="25"/>
      <c r="P6" s="25"/>
      <c r="Q6" s="25"/>
      <c r="R6" s="25"/>
      <c r="S6" s="25"/>
      <c r="T6" s="25"/>
      <c r="U6" s="25"/>
      <c r="V6" s="25"/>
      <c r="W6" s="25"/>
      <c r="X6" s="25"/>
      <c r="Y6" s="25"/>
      <c r="Z6" s="25"/>
      <c r="AA6" s="25"/>
      <c r="AB6" s="25"/>
      <c r="AC6" s="25"/>
      <c r="AD6" s="25"/>
    </row>
    <row r="7" spans="1:30" x14ac:dyDescent="0.3">
      <c r="A7" s="25"/>
      <c r="B7" s="575"/>
      <c r="C7" s="575"/>
      <c r="D7" s="575"/>
      <c r="E7" s="575"/>
      <c r="F7" s="575"/>
      <c r="G7" s="575"/>
      <c r="H7" s="575"/>
      <c r="I7" s="575"/>
      <c r="J7" s="575"/>
      <c r="K7" s="25"/>
      <c r="L7" s="25"/>
      <c r="M7" s="25"/>
      <c r="N7" s="25"/>
      <c r="O7" s="25"/>
      <c r="P7" s="25"/>
      <c r="Q7" s="25"/>
      <c r="R7" s="25"/>
      <c r="S7" s="25"/>
      <c r="T7" s="25"/>
      <c r="U7" s="25"/>
      <c r="V7" s="25"/>
      <c r="W7" s="25"/>
      <c r="X7" s="25"/>
      <c r="Y7" s="25"/>
      <c r="Z7" s="25"/>
      <c r="AA7" s="25"/>
      <c r="AB7" s="25"/>
      <c r="AC7" s="25"/>
      <c r="AD7" s="25"/>
    </row>
    <row r="8" spans="1:30" ht="28.5" customHeight="1" x14ac:dyDescent="0.3">
      <c r="A8" s="25"/>
      <c r="B8" s="575"/>
      <c r="C8" s="575"/>
      <c r="D8" s="575"/>
      <c r="E8" s="575"/>
      <c r="F8" s="575"/>
      <c r="G8" s="575"/>
      <c r="H8" s="575"/>
      <c r="I8" s="575"/>
      <c r="J8" s="575"/>
      <c r="K8" s="25"/>
      <c r="L8" s="25"/>
      <c r="M8" s="25"/>
      <c r="N8" s="25"/>
      <c r="O8" s="25"/>
      <c r="P8" s="25"/>
      <c r="Q8" s="25"/>
      <c r="R8" s="25"/>
      <c r="S8" s="25"/>
      <c r="T8" s="25"/>
      <c r="U8" s="25"/>
      <c r="V8" s="25"/>
      <c r="W8" s="25"/>
      <c r="X8" s="25"/>
      <c r="Y8" s="25"/>
      <c r="Z8" s="25"/>
      <c r="AA8" s="25"/>
      <c r="AB8" s="25"/>
      <c r="AC8" s="25"/>
      <c r="AD8" s="25"/>
    </row>
    <row r="9" spans="1:30" ht="14.55" customHeight="1" x14ac:dyDescent="0.3">
      <c r="A9" s="25"/>
      <c r="B9" s="576"/>
      <c r="C9" s="576"/>
      <c r="D9" s="576"/>
      <c r="E9" s="576"/>
      <c r="F9" s="576"/>
      <c r="G9" s="576"/>
      <c r="H9" s="576"/>
      <c r="I9" s="576"/>
      <c r="J9" s="576"/>
      <c r="K9" s="25"/>
      <c r="L9" s="25"/>
      <c r="M9" s="25"/>
      <c r="N9" s="25"/>
      <c r="O9" s="25"/>
      <c r="P9" s="25"/>
      <c r="Q9" s="25"/>
      <c r="R9" s="25"/>
      <c r="S9" s="25"/>
      <c r="T9" s="25"/>
      <c r="U9" s="25"/>
      <c r="V9" s="25"/>
      <c r="W9" s="25"/>
      <c r="X9" s="25"/>
      <c r="Y9" s="25"/>
      <c r="Z9" s="25"/>
      <c r="AA9" s="25"/>
      <c r="AB9" s="25"/>
      <c r="AC9" s="25"/>
      <c r="AD9" s="25"/>
    </row>
    <row r="10" spans="1:30" ht="20.55" customHeight="1" x14ac:dyDescent="0.3">
      <c r="A10" s="25"/>
      <c r="B10" s="576"/>
      <c r="C10" s="576"/>
      <c r="D10" s="576"/>
      <c r="E10" s="576"/>
      <c r="F10" s="576"/>
      <c r="G10" s="576"/>
      <c r="H10" s="576"/>
      <c r="I10" s="576"/>
      <c r="J10" s="576"/>
      <c r="K10" s="25"/>
      <c r="L10" s="25"/>
      <c r="M10" s="25"/>
      <c r="N10" s="25"/>
      <c r="O10" s="25"/>
      <c r="P10" s="25"/>
      <c r="Q10" s="25"/>
      <c r="R10" s="25"/>
      <c r="S10" s="25"/>
      <c r="T10" s="25"/>
      <c r="U10" s="25"/>
      <c r="V10" s="25"/>
      <c r="W10" s="25"/>
      <c r="X10" s="25"/>
      <c r="Y10" s="25"/>
      <c r="Z10" s="25"/>
      <c r="AA10" s="25"/>
      <c r="AB10" s="25"/>
      <c r="AC10" s="25"/>
      <c r="AD10" s="25"/>
    </row>
    <row r="11" spans="1:30" x14ac:dyDescent="0.3">
      <c r="A11" s="25"/>
      <c r="B11" s="577" t="s">
        <v>1042</v>
      </c>
      <c r="C11" s="577"/>
      <c r="D11" s="577"/>
      <c r="E11" s="577"/>
      <c r="F11" s="569" t="s">
        <v>1050</v>
      </c>
      <c r="G11" s="569"/>
      <c r="H11" s="569"/>
      <c r="I11" s="569"/>
      <c r="J11" s="569"/>
      <c r="K11" s="25"/>
      <c r="L11" s="25"/>
      <c r="M11" s="25"/>
      <c r="N11" s="25"/>
      <c r="O11" s="25"/>
      <c r="P11" s="25"/>
      <c r="Q11" s="25"/>
      <c r="R11" s="25"/>
      <c r="S11" s="25"/>
      <c r="T11" s="25"/>
      <c r="U11" s="25"/>
      <c r="V11" s="25"/>
      <c r="W11" s="25"/>
      <c r="X11" s="25"/>
      <c r="Y11" s="25"/>
      <c r="Z11" s="25"/>
      <c r="AA11" s="25"/>
      <c r="AB11" s="25"/>
      <c r="AC11" s="25"/>
      <c r="AD11" s="25"/>
    </row>
    <row r="12" spans="1:30" x14ac:dyDescent="0.3">
      <c r="A12" s="25"/>
      <c r="B12" s="570"/>
      <c r="C12" s="570"/>
      <c r="D12" s="570"/>
      <c r="E12" s="570"/>
      <c r="F12" s="570"/>
      <c r="G12" s="570"/>
      <c r="H12" s="570"/>
      <c r="I12" s="570"/>
      <c r="J12" s="570"/>
      <c r="K12" s="25"/>
      <c r="L12" s="25"/>
      <c r="M12" s="25"/>
      <c r="N12" s="25"/>
      <c r="O12" s="25"/>
      <c r="P12" s="25"/>
      <c r="Q12" s="25"/>
      <c r="R12" s="25"/>
      <c r="S12" s="25"/>
      <c r="T12" s="25"/>
      <c r="U12" s="25"/>
      <c r="V12" s="25"/>
      <c r="W12" s="25"/>
      <c r="X12" s="25"/>
      <c r="Y12" s="25"/>
      <c r="Z12" s="25"/>
      <c r="AA12" s="25"/>
      <c r="AB12" s="25"/>
      <c r="AC12" s="25"/>
      <c r="AD12" s="25"/>
    </row>
    <row r="13" spans="1:30" x14ac:dyDescent="0.3">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row>
    <row r="14" spans="1:30" ht="14.55" customHeight="1" x14ac:dyDescent="0.3">
      <c r="A14" s="25"/>
      <c r="B14" s="571"/>
      <c r="C14" s="578"/>
      <c r="D14" s="578"/>
      <c r="E14" s="578"/>
      <c r="F14" s="578"/>
      <c r="G14" s="578"/>
      <c r="H14" s="578"/>
      <c r="I14" s="578"/>
      <c r="J14" s="578"/>
      <c r="K14" s="25"/>
      <c r="L14" s="25"/>
      <c r="M14" s="25"/>
      <c r="N14" s="25"/>
      <c r="O14" s="25"/>
      <c r="P14" s="25"/>
      <c r="Q14" s="25"/>
      <c r="R14" s="25"/>
      <c r="S14" s="25"/>
      <c r="T14" s="25"/>
      <c r="U14" s="25"/>
      <c r="V14" s="25"/>
      <c r="W14" s="25"/>
      <c r="X14" s="25"/>
      <c r="Y14" s="25"/>
      <c r="Z14" s="25"/>
      <c r="AA14" s="25"/>
      <c r="AB14" s="25"/>
      <c r="AC14" s="25"/>
      <c r="AD14" s="25"/>
    </row>
    <row r="15" spans="1:30" ht="81" customHeight="1" x14ac:dyDescent="0.3">
      <c r="A15" s="25"/>
      <c r="B15" s="571"/>
      <c r="C15" s="578"/>
      <c r="D15" s="578"/>
      <c r="E15" s="578"/>
      <c r="F15" s="578"/>
      <c r="G15" s="578"/>
      <c r="H15" s="578"/>
      <c r="I15" s="578"/>
      <c r="J15" s="578"/>
      <c r="K15" s="25"/>
      <c r="L15" s="25"/>
      <c r="M15" s="25"/>
      <c r="N15" s="25"/>
      <c r="O15" s="25"/>
      <c r="P15" s="25"/>
      <c r="Q15" s="25"/>
      <c r="R15" s="25"/>
      <c r="S15" s="25"/>
      <c r="T15" s="25"/>
      <c r="U15" s="25"/>
      <c r="V15" s="25"/>
      <c r="W15" s="25"/>
      <c r="X15" s="25"/>
      <c r="Y15" s="25"/>
      <c r="Z15" s="25"/>
      <c r="AA15" s="25"/>
      <c r="AB15" s="25"/>
      <c r="AC15" s="25"/>
      <c r="AD15" s="25"/>
    </row>
    <row r="16" spans="1:30" ht="21.6" customHeight="1" x14ac:dyDescent="0.3">
      <c r="A16" s="25"/>
      <c r="B16" s="46"/>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row>
    <row r="17" spans="1:30" ht="21" x14ac:dyDescent="0.4">
      <c r="A17" s="25"/>
      <c r="B17" s="573" t="s">
        <v>1</v>
      </c>
      <c r="C17" s="573"/>
      <c r="D17" s="573"/>
      <c r="E17" s="573"/>
      <c r="F17" s="573"/>
      <c r="G17" s="573"/>
      <c r="H17" s="573"/>
      <c r="I17" s="25"/>
      <c r="J17" s="25"/>
      <c r="K17" s="25"/>
      <c r="L17" s="25"/>
      <c r="M17" s="25"/>
      <c r="N17" s="25"/>
      <c r="O17" s="25"/>
      <c r="P17" s="25"/>
      <c r="Q17" s="25"/>
      <c r="R17" s="25"/>
      <c r="S17" s="25"/>
      <c r="T17" s="25"/>
      <c r="U17" s="25"/>
      <c r="V17" s="25"/>
      <c r="W17" s="25"/>
      <c r="X17" s="25"/>
      <c r="Y17" s="25"/>
      <c r="Z17" s="25"/>
      <c r="AA17" s="25"/>
      <c r="AB17" s="25"/>
      <c r="AC17" s="25"/>
      <c r="AD17" s="25"/>
    </row>
    <row r="18" spans="1:30" ht="15" thickBot="1" x14ac:dyDescent="0.35">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row>
    <row r="19" spans="1:30" ht="14.55" customHeight="1" x14ac:dyDescent="0.3">
      <c r="A19" s="25"/>
      <c r="B19" s="579"/>
      <c r="C19" s="580"/>
      <c r="D19" s="583" t="s">
        <v>2</v>
      </c>
      <c r="E19" s="584"/>
      <c r="F19" s="584"/>
      <c r="G19" s="584"/>
      <c r="H19" s="585"/>
      <c r="I19" s="25"/>
      <c r="J19" s="25"/>
      <c r="K19" s="25"/>
      <c r="L19" s="25"/>
      <c r="M19" s="25"/>
      <c r="N19" s="25"/>
      <c r="O19" s="25"/>
      <c r="P19" s="25"/>
      <c r="Q19" s="25"/>
      <c r="R19" s="25"/>
      <c r="S19" s="25"/>
      <c r="T19" s="25"/>
      <c r="U19" s="25"/>
      <c r="V19" s="25"/>
      <c r="W19" s="25"/>
      <c r="X19" s="25"/>
      <c r="Y19" s="25"/>
      <c r="Z19" s="25"/>
      <c r="AA19" s="25"/>
      <c r="AB19" s="25"/>
      <c r="AC19" s="25"/>
      <c r="AD19" s="25"/>
    </row>
    <row r="20" spans="1:30" ht="15" customHeight="1" x14ac:dyDescent="0.3">
      <c r="A20" s="25"/>
      <c r="B20" s="581"/>
      <c r="C20" s="582"/>
      <c r="D20" s="586"/>
      <c r="E20" s="587"/>
      <c r="F20" s="587"/>
      <c r="G20" s="587"/>
      <c r="H20" s="588"/>
      <c r="I20" s="25"/>
      <c r="J20" s="25"/>
      <c r="K20" s="25"/>
      <c r="L20" s="25"/>
      <c r="M20" s="25"/>
      <c r="N20" s="25"/>
      <c r="O20" s="25"/>
      <c r="P20" s="25"/>
      <c r="Q20" s="25"/>
      <c r="R20" s="25"/>
      <c r="S20" s="25"/>
      <c r="T20" s="25"/>
      <c r="U20" s="25"/>
      <c r="V20" s="25"/>
      <c r="W20" s="25"/>
      <c r="X20" s="25"/>
      <c r="Y20" s="25"/>
      <c r="Z20" s="25"/>
      <c r="AA20" s="25"/>
      <c r="AB20" s="25"/>
      <c r="AC20" s="25"/>
      <c r="AD20" s="25"/>
    </row>
    <row r="21" spans="1:30" ht="14.55" customHeight="1" x14ac:dyDescent="0.3">
      <c r="A21" s="25"/>
      <c r="B21" s="603"/>
      <c r="C21" s="604"/>
      <c r="D21" s="607" t="s">
        <v>3</v>
      </c>
      <c r="E21" s="608"/>
      <c r="F21" s="608"/>
      <c r="G21" s="608"/>
      <c r="H21" s="609"/>
      <c r="I21" s="25"/>
      <c r="J21" s="25"/>
      <c r="K21" s="25"/>
      <c r="L21" s="25"/>
      <c r="M21" s="25"/>
      <c r="N21" s="25"/>
      <c r="O21" s="25"/>
      <c r="P21" s="25"/>
      <c r="Q21" s="25"/>
      <c r="R21" s="25"/>
      <c r="S21" s="25"/>
      <c r="T21" s="25"/>
      <c r="U21" s="25"/>
      <c r="V21" s="25"/>
      <c r="W21" s="25"/>
      <c r="X21" s="25"/>
      <c r="Y21" s="25"/>
      <c r="Z21" s="25"/>
      <c r="AA21" s="25"/>
      <c r="AB21" s="25"/>
      <c r="AC21" s="25"/>
      <c r="AD21" s="25"/>
    </row>
    <row r="22" spans="1:30" ht="14.55" customHeight="1" x14ac:dyDescent="0.3">
      <c r="A22" s="25"/>
      <c r="B22" s="605"/>
      <c r="C22" s="606"/>
      <c r="D22" s="586"/>
      <c r="E22" s="587"/>
      <c r="F22" s="587"/>
      <c r="G22" s="587"/>
      <c r="H22" s="588"/>
      <c r="I22" s="25"/>
      <c r="J22" s="25"/>
      <c r="K22" s="25"/>
      <c r="L22" s="25"/>
      <c r="M22" s="25"/>
      <c r="N22" s="25"/>
      <c r="O22" s="25"/>
      <c r="P22" s="25"/>
      <c r="Q22" s="25"/>
      <c r="R22" s="25"/>
      <c r="S22" s="25"/>
      <c r="T22" s="25"/>
      <c r="U22" s="25"/>
      <c r="V22" s="25"/>
      <c r="W22" s="25"/>
      <c r="X22" s="25"/>
      <c r="Y22" s="25"/>
      <c r="Z22" s="25"/>
      <c r="AA22" s="25"/>
      <c r="AB22" s="25"/>
      <c r="AC22" s="25"/>
      <c r="AD22" s="25"/>
    </row>
    <row r="23" spans="1:30" ht="14.55" customHeight="1" x14ac:dyDescent="0.3">
      <c r="A23" s="25"/>
      <c r="B23" s="593"/>
      <c r="C23" s="594"/>
      <c r="D23" s="597" t="s">
        <v>4</v>
      </c>
      <c r="E23" s="598"/>
      <c r="F23" s="598"/>
      <c r="G23" s="598"/>
      <c r="H23" s="599"/>
      <c r="I23" s="25"/>
      <c r="J23" s="25"/>
      <c r="K23" s="25"/>
      <c r="L23" s="25"/>
      <c r="M23" s="25"/>
      <c r="N23" s="25"/>
      <c r="O23" s="25"/>
      <c r="P23" s="25"/>
      <c r="Q23" s="25"/>
      <c r="R23" s="25"/>
      <c r="S23" s="25"/>
      <c r="T23" s="25"/>
      <c r="U23" s="25"/>
      <c r="V23" s="25"/>
      <c r="W23" s="25"/>
      <c r="X23" s="25"/>
      <c r="Y23" s="25"/>
      <c r="Z23" s="25"/>
      <c r="AA23" s="25"/>
      <c r="AB23" s="25"/>
      <c r="AC23" s="25"/>
      <c r="AD23" s="25"/>
    </row>
    <row r="24" spans="1:30" ht="14.55" customHeight="1" x14ac:dyDescent="0.3">
      <c r="A24" s="25"/>
      <c r="B24" s="595"/>
      <c r="C24" s="596"/>
      <c r="D24" s="600"/>
      <c r="E24" s="601"/>
      <c r="F24" s="601"/>
      <c r="G24" s="601"/>
      <c r="H24" s="602"/>
      <c r="I24" s="25"/>
      <c r="J24" s="25"/>
      <c r="K24" s="25"/>
      <c r="L24" s="25"/>
      <c r="M24" s="25"/>
      <c r="N24" s="25"/>
      <c r="O24" s="25"/>
      <c r="P24" s="25"/>
      <c r="Q24" s="25"/>
      <c r="R24" s="25"/>
      <c r="S24" s="25"/>
      <c r="T24" s="25"/>
      <c r="U24" s="25"/>
      <c r="V24" s="25"/>
      <c r="W24" s="25"/>
      <c r="X24" s="25"/>
      <c r="Y24" s="25"/>
      <c r="Z24" s="25"/>
      <c r="AA24" s="25"/>
      <c r="AB24" s="25"/>
      <c r="AC24" s="25"/>
      <c r="AD24" s="25"/>
    </row>
    <row r="25" spans="1:30" ht="28.05" customHeight="1" x14ac:dyDescent="0.3">
      <c r="A25" s="25"/>
      <c r="B25" s="387"/>
      <c r="C25" s="388"/>
      <c r="D25" s="616" t="s">
        <v>5</v>
      </c>
      <c r="E25" s="617"/>
      <c r="F25" s="617"/>
      <c r="G25" s="617"/>
      <c r="H25" s="618"/>
      <c r="I25" s="25"/>
      <c r="J25" s="25"/>
      <c r="K25" s="25"/>
      <c r="L25" s="25"/>
      <c r="M25" s="25"/>
      <c r="N25" s="25"/>
      <c r="O25" s="25"/>
      <c r="P25" s="25"/>
      <c r="Q25" s="25"/>
      <c r="R25" s="25"/>
      <c r="S25" s="25"/>
      <c r="T25" s="25"/>
      <c r="U25" s="25"/>
      <c r="V25" s="25"/>
      <c r="W25" s="25"/>
      <c r="X25" s="25"/>
      <c r="Y25" s="25"/>
      <c r="Z25" s="25"/>
      <c r="AA25" s="25"/>
      <c r="AB25" s="25"/>
      <c r="AC25" s="25"/>
      <c r="AD25" s="25"/>
    </row>
    <row r="26" spans="1:30" ht="32.1" customHeight="1" x14ac:dyDescent="0.3">
      <c r="A26" s="25"/>
      <c r="B26" s="389"/>
      <c r="C26" s="390"/>
      <c r="D26" s="616" t="s">
        <v>6</v>
      </c>
      <c r="E26" s="617"/>
      <c r="F26" s="617"/>
      <c r="G26" s="617"/>
      <c r="H26" s="618"/>
      <c r="I26" s="25"/>
      <c r="J26" s="25"/>
      <c r="K26" s="25"/>
      <c r="L26" s="25"/>
      <c r="M26" s="25"/>
      <c r="N26" s="25"/>
      <c r="O26" s="25"/>
      <c r="P26" s="25"/>
      <c r="Q26" s="25"/>
      <c r="R26" s="25"/>
      <c r="S26" s="25"/>
      <c r="T26" s="25"/>
      <c r="U26" s="25"/>
      <c r="V26" s="25"/>
      <c r="W26" s="25"/>
      <c r="X26" s="25"/>
      <c r="Y26" s="25"/>
      <c r="Z26" s="25"/>
      <c r="AA26" s="25"/>
      <c r="AB26" s="25"/>
      <c r="AC26" s="25"/>
      <c r="AD26" s="25"/>
    </row>
    <row r="27" spans="1:30" ht="27" customHeight="1" x14ac:dyDescent="0.3">
      <c r="A27" s="25"/>
      <c r="B27" s="614" t="s">
        <v>7</v>
      </c>
      <c r="C27" s="615"/>
      <c r="D27" s="616" t="s">
        <v>8</v>
      </c>
      <c r="E27" s="617"/>
      <c r="F27" s="617"/>
      <c r="G27" s="617"/>
      <c r="H27" s="618"/>
      <c r="I27" s="25"/>
      <c r="J27" s="25"/>
      <c r="K27" s="25"/>
      <c r="L27" s="25"/>
      <c r="M27" s="25"/>
      <c r="N27" s="25"/>
      <c r="O27" s="25"/>
      <c r="P27" s="25"/>
      <c r="Q27" s="25"/>
      <c r="R27" s="25"/>
      <c r="S27" s="25"/>
      <c r="T27" s="25"/>
      <c r="U27" s="25"/>
      <c r="V27" s="25"/>
      <c r="W27" s="25"/>
      <c r="X27" s="25"/>
      <c r="Y27" s="25"/>
      <c r="Z27" s="25"/>
      <c r="AA27" s="25"/>
      <c r="AB27" s="25"/>
      <c r="AC27" s="25"/>
      <c r="AD27" s="25"/>
    </row>
    <row r="28" spans="1:30" ht="24" customHeight="1" x14ac:dyDescent="0.3">
      <c r="A28" s="25"/>
      <c r="B28" s="589" t="s">
        <v>9</v>
      </c>
      <c r="C28" s="590"/>
      <c r="D28" s="591" t="s">
        <v>10</v>
      </c>
      <c r="E28" s="591"/>
      <c r="F28" s="591"/>
      <c r="G28" s="591"/>
      <c r="H28" s="592"/>
      <c r="I28" s="25"/>
      <c r="J28" s="568" t="s">
        <v>11</v>
      </c>
      <c r="K28" s="568"/>
      <c r="L28" s="568"/>
      <c r="M28" s="568"/>
      <c r="N28" s="568"/>
      <c r="O28" s="568"/>
      <c r="P28" s="568"/>
      <c r="Q28" s="568"/>
      <c r="R28" s="568"/>
      <c r="S28" s="25"/>
      <c r="T28" s="25"/>
      <c r="U28" s="25"/>
      <c r="V28" s="25"/>
      <c r="W28" s="25"/>
      <c r="X28" s="25"/>
      <c r="Y28" s="25"/>
      <c r="Z28" s="25"/>
      <c r="AA28" s="25"/>
      <c r="AB28" s="25"/>
      <c r="AC28" s="25"/>
      <c r="AD28" s="25"/>
    </row>
    <row r="29" spans="1:30" ht="24" customHeight="1" thickBot="1" x14ac:dyDescent="0.35">
      <c r="A29" s="25"/>
      <c r="B29" s="610"/>
      <c r="C29" s="611"/>
      <c r="D29" s="612" t="s">
        <v>12</v>
      </c>
      <c r="E29" s="612"/>
      <c r="F29" s="612"/>
      <c r="G29" s="612"/>
      <c r="H29" s="613"/>
      <c r="I29" s="25"/>
      <c r="J29" s="25"/>
      <c r="K29" s="25"/>
      <c r="L29" s="25"/>
      <c r="M29" s="25"/>
      <c r="N29" s="25"/>
      <c r="O29" s="25"/>
      <c r="P29" s="25"/>
      <c r="Q29" s="25"/>
      <c r="R29" s="25"/>
      <c r="S29" s="25"/>
      <c r="T29" s="25"/>
      <c r="U29" s="25"/>
      <c r="V29" s="25"/>
      <c r="W29" s="25"/>
      <c r="X29" s="25"/>
      <c r="Y29" s="25"/>
      <c r="Z29" s="25"/>
      <c r="AA29" s="25"/>
      <c r="AB29" s="25"/>
      <c r="AC29" s="25"/>
      <c r="AD29" s="25"/>
    </row>
    <row r="30" spans="1:30" ht="27.6" customHeight="1" x14ac:dyDescent="0.3">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row>
    <row r="31" spans="1:30" ht="21.6" customHeight="1" x14ac:dyDescent="0.3">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row>
    <row r="32" spans="1:30" x14ac:dyDescent="0.3">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row>
    <row r="33" spans="1:30" ht="15.6" customHeight="1" x14ac:dyDescent="0.3">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row>
    <row r="34" spans="1:30" x14ac:dyDescent="0.3">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row>
    <row r="35" spans="1:30" ht="15.6" customHeight="1" x14ac:dyDescent="0.3">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row>
    <row r="36" spans="1:30" x14ac:dyDescent="0.3">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row>
    <row r="37" spans="1:30" hidden="1" x14ac:dyDescent="0.3">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row>
    <row r="38" spans="1:30" hidden="1" x14ac:dyDescent="0.3">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row>
    <row r="39" spans="1:30" hidden="1" x14ac:dyDescent="0.3">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row>
    <row r="40" spans="1:30" hidden="1" x14ac:dyDescent="0.3">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row>
    <row r="41" spans="1:30" hidden="1" x14ac:dyDescent="0.3">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row>
    <row r="42" spans="1:30" hidden="1" x14ac:dyDescent="0.3">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row>
    <row r="43" spans="1:30" hidden="1" x14ac:dyDescent="0.3">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row>
    <row r="44" spans="1:30" hidden="1" x14ac:dyDescent="0.3">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row>
    <row r="45" spans="1:30" hidden="1" x14ac:dyDescent="0.3">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row>
    <row r="46" spans="1:30" hidden="1" x14ac:dyDescent="0.3">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row>
    <row r="47" spans="1:30" hidden="1" x14ac:dyDescent="0.3">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row>
    <row r="48" spans="1:30" hidden="1" x14ac:dyDescent="0.3">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row>
    <row r="49" spans="1:30" hidden="1" x14ac:dyDescent="0.3">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row>
    <row r="50" spans="1:30" hidden="1" x14ac:dyDescent="0.3">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row>
    <row r="51" spans="1:30" hidden="1" x14ac:dyDescent="0.3">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row>
    <row r="52" spans="1:30" hidden="1" x14ac:dyDescent="0.3">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row>
    <row r="53" spans="1:30" hidden="1" x14ac:dyDescent="0.3">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row>
    <row r="54" spans="1:30" hidden="1" x14ac:dyDescent="0.3">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row>
    <row r="55" spans="1:30" hidden="1" x14ac:dyDescent="0.3">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row>
    <row r="56" spans="1:30" hidden="1" x14ac:dyDescent="0.3">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row>
    <row r="57" spans="1:30" hidden="1" x14ac:dyDescent="0.3">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row>
    <row r="58" spans="1:30" hidden="1" x14ac:dyDescent="0.3">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row>
    <row r="59" spans="1:30" hidden="1" x14ac:dyDescent="0.3">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row>
    <row r="60" spans="1:30" hidden="1" x14ac:dyDescent="0.3">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row>
    <row r="61" spans="1:30" hidden="1" x14ac:dyDescent="0.3">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row>
    <row r="62" spans="1:30" hidden="1" x14ac:dyDescent="0.3">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row>
    <row r="63" spans="1:30" hidden="1" x14ac:dyDescent="0.3">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row>
    <row r="64" spans="1:30" hidden="1" x14ac:dyDescent="0.3">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row>
    <row r="65" spans="1:30" hidden="1" x14ac:dyDescent="0.3">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row>
    <row r="66" spans="1:30" hidden="1" x14ac:dyDescent="0.3">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row>
    <row r="67" spans="1:30" hidden="1" x14ac:dyDescent="0.3">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row>
    <row r="68" spans="1:30" hidden="1" x14ac:dyDescent="0.3">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row>
    <row r="69" spans="1:30" hidden="1" x14ac:dyDescent="0.3">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row>
    <row r="70" spans="1:30" hidden="1" x14ac:dyDescent="0.3">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row>
    <row r="71" spans="1:30" hidden="1" x14ac:dyDescent="0.3">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row>
    <row r="72" spans="1:30" hidden="1" x14ac:dyDescent="0.3">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row>
    <row r="73" spans="1:30" hidden="1" x14ac:dyDescent="0.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row>
    <row r="74" spans="1:30" hidden="1" x14ac:dyDescent="0.3">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row>
    <row r="75" spans="1:30" hidden="1" x14ac:dyDescent="0.3">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row>
    <row r="76" spans="1:30" hidden="1" x14ac:dyDescent="0.3">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row>
    <row r="77" spans="1:30" hidden="1" x14ac:dyDescent="0.3">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row>
    <row r="78" spans="1:30" hidden="1" x14ac:dyDescent="0.3">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row>
    <row r="79" spans="1:30" hidden="1" x14ac:dyDescent="0.3">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row>
    <row r="80" spans="1:30" hidden="1" x14ac:dyDescent="0.3">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row>
    <row r="81" spans="1:30" hidden="1" x14ac:dyDescent="0.3">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row>
    <row r="82" spans="1:30" hidden="1" x14ac:dyDescent="0.3">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row>
    <row r="83" spans="1:30" hidden="1" x14ac:dyDescent="0.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row>
    <row r="84" spans="1:30" hidden="1" x14ac:dyDescent="0.3">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row>
    <row r="85" spans="1:30" hidden="1" x14ac:dyDescent="0.3">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row>
    <row r="86" spans="1:30" hidden="1" x14ac:dyDescent="0.3">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row>
    <row r="87" spans="1:30" hidden="1" x14ac:dyDescent="0.3">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row>
    <row r="88" spans="1:30" hidden="1" x14ac:dyDescent="0.3">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row>
    <row r="89" spans="1:30" hidden="1" x14ac:dyDescent="0.3">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row>
    <row r="90" spans="1:30" hidden="1" x14ac:dyDescent="0.3">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row>
    <row r="91" spans="1:30" hidden="1" x14ac:dyDescent="0.3">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row>
    <row r="92" spans="1:30" hidden="1" x14ac:dyDescent="0.3">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row>
    <row r="93" spans="1:30" hidden="1" x14ac:dyDescent="0.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row>
    <row r="94" spans="1:30" hidden="1" x14ac:dyDescent="0.3">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row>
  </sheetData>
  <sheetProtection algorithmName="SHA-512" hashValue="t7reGwNWB+y7V6EQNSwwrDNI8ieKh/SBykRj5aok/IZs/ITwJQgegmxELCZVbZxUlMdlvDKv13bdcY2CwL5+nA==" saltValue="UMlUqn6SlYapN2gpDtrxIA==" spinCount="100000" sheet="1" objects="1" scenarios="1"/>
  <mergeCells count="24">
    <mergeCell ref="B21:C22"/>
    <mergeCell ref="D21:H22"/>
    <mergeCell ref="B29:C29"/>
    <mergeCell ref="D29:H29"/>
    <mergeCell ref="B27:C27"/>
    <mergeCell ref="D27:H27"/>
    <mergeCell ref="D25:H25"/>
    <mergeCell ref="D26:H26"/>
    <mergeCell ref="J28:R28"/>
    <mergeCell ref="F11:J11"/>
    <mergeCell ref="B12:J12"/>
    <mergeCell ref="B14:B15"/>
    <mergeCell ref="D1:J5"/>
    <mergeCell ref="B17:H17"/>
    <mergeCell ref="B6:J8"/>
    <mergeCell ref="B9:J10"/>
    <mergeCell ref="B11:E11"/>
    <mergeCell ref="C14:J15"/>
    <mergeCell ref="B19:C20"/>
    <mergeCell ref="D19:H20"/>
    <mergeCell ref="B28:C28"/>
    <mergeCell ref="D28:H28"/>
    <mergeCell ref="B23:C24"/>
    <mergeCell ref="D23:H24"/>
  </mergeCells>
  <pageMargins left="0.7" right="0.7" top="0.75" bottom="0.75" header="0.3" footer="0.3"/>
  <pageSetup paperSize="9" scale="56"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BD83-4DCB-48C1-9984-9BC62BA2F706}">
  <sheetPr codeName="Sheet11">
    <tabColor rgb="FF005E5C"/>
  </sheetPr>
  <dimension ref="A1:XEZ136"/>
  <sheetViews>
    <sheetView zoomScale="80" zoomScaleNormal="80" workbookViewId="0">
      <pane xSplit="2" ySplit="5" topLeftCell="C6" activePane="bottomRight" state="frozen"/>
      <selection pane="topRight" activeCell="C1" sqref="C1"/>
      <selection pane="bottomLeft" activeCell="A6" sqref="A6"/>
      <selection pane="bottomRight"/>
    </sheetView>
  </sheetViews>
  <sheetFormatPr defaultColWidth="9.21875" defaultRowHeight="14.4" zeroHeight="1" x14ac:dyDescent="0.3"/>
  <cols>
    <col min="1" max="1" width="8.77734375" customWidth="1"/>
    <col min="2" max="2" width="79.21875" customWidth="1"/>
    <col min="3" max="3" width="24.21875" customWidth="1"/>
    <col min="4" max="4" width="31.21875" customWidth="1"/>
    <col min="5" max="5" width="114.5546875" customWidth="1"/>
    <col min="6" max="6" width="35.77734375" customWidth="1"/>
    <col min="7" max="11" width="17.77734375" customWidth="1"/>
    <col min="12" max="13" width="41.21875" customWidth="1"/>
    <col min="14" max="14" width="96" customWidth="1"/>
    <col min="15" max="15" width="9.21875" customWidth="1"/>
    <col min="16" max="19" width="9.21875" hidden="1" customWidth="1"/>
    <col min="20" max="16380" width="14.44140625" hidden="1" customWidth="1"/>
    <col min="16381" max="16383" width="14.44140625" style="25" customWidth="1"/>
    <col min="16384" max="16384" width="9.21875" style="25"/>
  </cols>
  <sheetData>
    <row r="1" spans="1:20" x14ac:dyDescent="0.3">
      <c r="A1" s="25"/>
      <c r="B1" s="1018" t="s">
        <v>368</v>
      </c>
      <c r="C1" s="1019"/>
      <c r="D1" s="1019"/>
      <c r="E1" s="1019"/>
      <c r="F1" s="1019"/>
      <c r="G1" s="1019"/>
      <c r="H1" s="1019"/>
      <c r="I1" s="1019"/>
      <c r="J1" s="1019"/>
      <c r="K1" s="1019"/>
      <c r="L1" s="1019"/>
      <c r="M1" s="1019"/>
      <c r="N1" s="1020"/>
      <c r="O1" s="25"/>
      <c r="P1" s="25"/>
      <c r="Q1" s="25"/>
      <c r="R1" s="25"/>
      <c r="S1" s="25"/>
      <c r="T1" s="25"/>
    </row>
    <row r="2" spans="1:20" ht="15" thickBot="1" x14ac:dyDescent="0.35">
      <c r="A2" s="25"/>
      <c r="B2" s="1021"/>
      <c r="C2" s="1022"/>
      <c r="D2" s="1022"/>
      <c r="E2" s="1022"/>
      <c r="F2" s="1022"/>
      <c r="G2" s="1022"/>
      <c r="H2" s="1022"/>
      <c r="I2" s="1022"/>
      <c r="J2" s="1022"/>
      <c r="K2" s="1022"/>
      <c r="L2" s="1022"/>
      <c r="M2" s="1022"/>
      <c r="N2" s="1023"/>
      <c r="O2" s="25"/>
      <c r="P2" s="25"/>
      <c r="Q2" s="25"/>
      <c r="R2" s="25"/>
      <c r="S2" s="25"/>
      <c r="T2" s="25"/>
    </row>
    <row r="3" spans="1:20" ht="18" x14ac:dyDescent="0.3">
      <c r="A3" s="25"/>
      <c r="B3" s="1030" t="s">
        <v>255</v>
      </c>
      <c r="C3" s="1027" t="s">
        <v>369</v>
      </c>
      <c r="D3" s="1028"/>
      <c r="E3" s="1028"/>
      <c r="F3" s="1029"/>
      <c r="G3" s="1043" t="s">
        <v>370</v>
      </c>
      <c r="H3" s="1044"/>
      <c r="I3" s="1044"/>
      <c r="J3" s="1044"/>
      <c r="K3" s="1044"/>
      <c r="L3" s="1044"/>
      <c r="M3" s="1045"/>
      <c r="N3" s="1024" t="s">
        <v>371</v>
      </c>
      <c r="O3" s="25"/>
      <c r="P3" s="25"/>
      <c r="Q3" s="25"/>
      <c r="R3" s="25"/>
      <c r="S3" s="25"/>
      <c r="T3" s="25"/>
    </row>
    <row r="4" spans="1:20" ht="98.1" customHeight="1" x14ac:dyDescent="0.3">
      <c r="A4" s="25"/>
      <c r="B4" s="1031"/>
      <c r="C4" s="1041" t="s">
        <v>372</v>
      </c>
      <c r="D4" s="1039" t="s">
        <v>373</v>
      </c>
      <c r="E4" s="1039" t="s">
        <v>374</v>
      </c>
      <c r="F4" s="1037" t="s">
        <v>375</v>
      </c>
      <c r="G4" s="63" t="s">
        <v>376</v>
      </c>
      <c r="H4" s="220" t="s">
        <v>377</v>
      </c>
      <c r="I4" s="220" t="s">
        <v>378</v>
      </c>
      <c r="J4" s="220" t="s">
        <v>379</v>
      </c>
      <c r="K4" s="220" t="s">
        <v>380</v>
      </c>
      <c r="L4" s="1035" t="s">
        <v>381</v>
      </c>
      <c r="M4" s="1033" t="s">
        <v>382</v>
      </c>
      <c r="N4" s="1025"/>
      <c r="O4" s="25"/>
      <c r="P4" s="25"/>
      <c r="Q4" s="25"/>
      <c r="R4" s="25"/>
      <c r="S4" s="25"/>
      <c r="T4" s="25"/>
    </row>
    <row r="5" spans="1:20" ht="65.55" customHeight="1" thickBot="1" x14ac:dyDescent="0.35">
      <c r="A5" s="25"/>
      <c r="B5" s="1032"/>
      <c r="C5" s="1042"/>
      <c r="D5" s="1040"/>
      <c r="E5" s="1040"/>
      <c r="F5" s="1038"/>
      <c r="G5" s="223" t="s">
        <v>111</v>
      </c>
      <c r="H5" s="222" t="s">
        <v>383</v>
      </c>
      <c r="I5" s="222" t="s">
        <v>384</v>
      </c>
      <c r="J5" s="222" t="s">
        <v>385</v>
      </c>
      <c r="K5" s="222" t="s">
        <v>386</v>
      </c>
      <c r="L5" s="1036"/>
      <c r="M5" s="1034"/>
      <c r="N5" s="1026"/>
      <c r="O5" s="25"/>
      <c r="P5" s="25"/>
      <c r="Q5" s="25"/>
      <c r="R5" s="25"/>
      <c r="S5" s="25"/>
      <c r="T5" s="25"/>
    </row>
    <row r="6" spans="1:20" x14ac:dyDescent="0.3">
      <c r="A6" s="25"/>
      <c r="B6" s="337" t="s">
        <v>292</v>
      </c>
      <c r="C6" s="335" t="s">
        <v>385</v>
      </c>
      <c r="D6" s="239" t="s">
        <v>385</v>
      </c>
      <c r="E6" s="340" t="s">
        <v>387</v>
      </c>
      <c r="F6" s="338" t="s">
        <v>385</v>
      </c>
      <c r="G6" s="224" t="s">
        <v>388</v>
      </c>
      <c r="H6" s="221" t="s">
        <v>388</v>
      </c>
      <c r="I6" s="221" t="s">
        <v>388</v>
      </c>
      <c r="J6" s="221">
        <v>1</v>
      </c>
      <c r="K6" s="7" t="s">
        <v>388</v>
      </c>
      <c r="L6" s="221" t="s">
        <v>388</v>
      </c>
      <c r="M6" s="225">
        <v>1</v>
      </c>
      <c r="N6" s="234" t="s">
        <v>387</v>
      </c>
      <c r="O6" s="25"/>
      <c r="P6" s="25"/>
      <c r="Q6" s="25"/>
      <c r="R6" s="25"/>
      <c r="S6" s="25"/>
      <c r="T6" s="25"/>
    </row>
    <row r="7" spans="1:20" x14ac:dyDescent="0.3">
      <c r="A7" s="25"/>
      <c r="B7" s="231" t="s">
        <v>294</v>
      </c>
      <c r="C7" s="336" t="s">
        <v>385</v>
      </c>
      <c r="D7" s="9" t="s">
        <v>385</v>
      </c>
      <c r="E7" s="233" t="s">
        <v>387</v>
      </c>
      <c r="F7" s="338" t="s">
        <v>385</v>
      </c>
      <c r="G7" s="226" t="s">
        <v>388</v>
      </c>
      <c r="H7" s="7" t="s">
        <v>388</v>
      </c>
      <c r="I7" s="7" t="s">
        <v>388</v>
      </c>
      <c r="J7" s="7">
        <v>1</v>
      </c>
      <c r="K7" s="7" t="s">
        <v>388</v>
      </c>
      <c r="L7" s="7" t="s">
        <v>388</v>
      </c>
      <c r="M7" s="227">
        <v>1</v>
      </c>
      <c r="N7" s="235" t="s">
        <v>387</v>
      </c>
      <c r="O7" s="25"/>
      <c r="P7" s="25"/>
      <c r="Q7" s="25"/>
      <c r="R7" s="25"/>
      <c r="S7" s="25"/>
      <c r="T7" s="25"/>
    </row>
    <row r="8" spans="1:20" x14ac:dyDescent="0.3">
      <c r="A8" s="25"/>
      <c r="B8" s="231" t="s">
        <v>295</v>
      </c>
      <c r="C8" s="336" t="s">
        <v>385</v>
      </c>
      <c r="D8" s="9" t="s">
        <v>385</v>
      </c>
      <c r="E8" s="233" t="s">
        <v>387</v>
      </c>
      <c r="F8" s="338" t="s">
        <v>385</v>
      </c>
      <c r="G8" s="226" t="s">
        <v>388</v>
      </c>
      <c r="H8" s="7" t="s">
        <v>388</v>
      </c>
      <c r="I8" s="7" t="s">
        <v>388</v>
      </c>
      <c r="J8" s="7">
        <v>1</v>
      </c>
      <c r="K8" s="7" t="s">
        <v>388</v>
      </c>
      <c r="L8" s="7" t="s">
        <v>388</v>
      </c>
      <c r="M8" s="227">
        <v>1</v>
      </c>
      <c r="N8" s="235" t="s">
        <v>387</v>
      </c>
      <c r="O8" s="25"/>
      <c r="P8" s="25"/>
      <c r="Q8" s="25"/>
      <c r="R8" s="25"/>
      <c r="S8" s="25"/>
      <c r="T8" s="25"/>
    </row>
    <row r="9" spans="1:20" x14ac:dyDescent="0.3">
      <c r="A9" s="25"/>
      <c r="B9" s="231" t="s">
        <v>296</v>
      </c>
      <c r="C9" s="336" t="s">
        <v>385</v>
      </c>
      <c r="D9" s="9" t="s">
        <v>385</v>
      </c>
      <c r="E9" s="233" t="s">
        <v>387</v>
      </c>
      <c r="F9" s="338" t="s">
        <v>385</v>
      </c>
      <c r="G9" s="226" t="s">
        <v>388</v>
      </c>
      <c r="H9" s="7" t="s">
        <v>388</v>
      </c>
      <c r="I9" s="7" t="s">
        <v>388</v>
      </c>
      <c r="J9" s="7">
        <v>1</v>
      </c>
      <c r="K9" s="7" t="s">
        <v>388</v>
      </c>
      <c r="L9" s="7" t="s">
        <v>388</v>
      </c>
      <c r="M9" s="227">
        <v>1</v>
      </c>
      <c r="N9" s="235" t="s">
        <v>387</v>
      </c>
      <c r="O9" s="25"/>
      <c r="P9" s="25"/>
      <c r="Q9" s="25"/>
      <c r="R9" s="25"/>
      <c r="S9" s="25"/>
      <c r="T9" s="25"/>
    </row>
    <row r="10" spans="1:20" ht="28.8" x14ac:dyDescent="0.3">
      <c r="A10" s="25"/>
      <c r="B10" s="231" t="s">
        <v>297</v>
      </c>
      <c r="C10" s="336" t="s">
        <v>385</v>
      </c>
      <c r="D10" s="9" t="s">
        <v>385</v>
      </c>
      <c r="E10" s="233" t="s">
        <v>389</v>
      </c>
      <c r="F10" s="238" t="s">
        <v>388</v>
      </c>
      <c r="G10" s="226" t="s">
        <v>388</v>
      </c>
      <c r="H10" s="7" t="s">
        <v>388</v>
      </c>
      <c r="I10" s="7" t="s">
        <v>388</v>
      </c>
      <c r="J10" s="7">
        <v>1</v>
      </c>
      <c r="K10" s="7" t="s">
        <v>388</v>
      </c>
      <c r="L10" s="7" t="s">
        <v>388</v>
      </c>
      <c r="M10" s="227" t="s">
        <v>388</v>
      </c>
      <c r="N10" s="235" t="s">
        <v>390</v>
      </c>
      <c r="O10" s="25"/>
      <c r="P10" s="25"/>
      <c r="Q10" s="25"/>
      <c r="R10" s="25"/>
      <c r="S10" s="25"/>
      <c r="T10" s="25"/>
    </row>
    <row r="11" spans="1:20" x14ac:dyDescent="0.3">
      <c r="A11" s="25"/>
      <c r="B11" s="231" t="s">
        <v>299</v>
      </c>
      <c r="C11" s="336" t="s">
        <v>385</v>
      </c>
      <c r="D11" s="9" t="s">
        <v>385</v>
      </c>
      <c r="E11" s="233" t="s">
        <v>387</v>
      </c>
      <c r="F11" s="338" t="s">
        <v>385</v>
      </c>
      <c r="G11" s="226" t="s">
        <v>388</v>
      </c>
      <c r="H11" s="7" t="s">
        <v>388</v>
      </c>
      <c r="I11" s="7" t="s">
        <v>388</v>
      </c>
      <c r="J11" s="7">
        <v>1</v>
      </c>
      <c r="K11" s="7" t="s">
        <v>388</v>
      </c>
      <c r="L11" s="7" t="s">
        <v>388</v>
      </c>
      <c r="M11" s="227" t="s">
        <v>388</v>
      </c>
      <c r="N11" s="235" t="s">
        <v>387</v>
      </c>
      <c r="O11" s="25"/>
      <c r="P11" s="25"/>
      <c r="Q11" s="25"/>
      <c r="R11" s="25"/>
      <c r="S11" s="25"/>
      <c r="T11" s="25"/>
    </row>
    <row r="12" spans="1:20" ht="28.8" x14ac:dyDescent="0.3">
      <c r="A12" s="25"/>
      <c r="B12" s="231" t="s">
        <v>300</v>
      </c>
      <c r="C12" s="336" t="s">
        <v>385</v>
      </c>
      <c r="D12" s="9" t="s">
        <v>385</v>
      </c>
      <c r="E12" s="233" t="s">
        <v>389</v>
      </c>
      <c r="F12" s="238" t="s">
        <v>388</v>
      </c>
      <c r="G12" s="226" t="s">
        <v>388</v>
      </c>
      <c r="H12" s="7" t="s">
        <v>388</v>
      </c>
      <c r="I12" s="7" t="s">
        <v>388</v>
      </c>
      <c r="J12" s="7">
        <v>1</v>
      </c>
      <c r="K12" s="7" t="s">
        <v>388</v>
      </c>
      <c r="L12" s="7" t="s">
        <v>388</v>
      </c>
      <c r="M12" s="227" t="s">
        <v>388</v>
      </c>
      <c r="N12" s="235" t="s">
        <v>390</v>
      </c>
      <c r="O12" s="25"/>
      <c r="P12" s="25"/>
      <c r="Q12" s="25"/>
      <c r="R12" s="25"/>
      <c r="S12" s="25"/>
      <c r="T12" s="25"/>
    </row>
    <row r="13" spans="1:20" ht="28.8" x14ac:dyDescent="0.3">
      <c r="A13" s="25"/>
      <c r="B13" s="231" t="s">
        <v>301</v>
      </c>
      <c r="C13" s="336" t="s">
        <v>385</v>
      </c>
      <c r="D13" s="9" t="s">
        <v>385</v>
      </c>
      <c r="E13" s="233" t="s">
        <v>389</v>
      </c>
      <c r="F13" s="238" t="s">
        <v>388</v>
      </c>
      <c r="G13" s="226" t="s">
        <v>388</v>
      </c>
      <c r="H13" s="7" t="s">
        <v>388</v>
      </c>
      <c r="I13" s="7" t="s">
        <v>388</v>
      </c>
      <c r="J13" s="7">
        <v>1</v>
      </c>
      <c r="K13" s="7" t="s">
        <v>388</v>
      </c>
      <c r="L13" s="7" t="s">
        <v>388</v>
      </c>
      <c r="M13" s="227" t="s">
        <v>388</v>
      </c>
      <c r="N13" s="235" t="s">
        <v>390</v>
      </c>
      <c r="O13" s="25"/>
      <c r="P13" s="25"/>
      <c r="Q13" s="25"/>
      <c r="R13" s="25"/>
      <c r="S13" s="25"/>
      <c r="T13" s="25"/>
    </row>
    <row r="14" spans="1:20" ht="28.8" x14ac:dyDescent="0.3">
      <c r="A14" s="25"/>
      <c r="B14" s="231" t="s">
        <v>302</v>
      </c>
      <c r="C14" s="336" t="s">
        <v>385</v>
      </c>
      <c r="D14" s="9" t="s">
        <v>385</v>
      </c>
      <c r="E14" s="233" t="s">
        <v>389</v>
      </c>
      <c r="F14" s="238" t="s">
        <v>388</v>
      </c>
      <c r="G14" s="226" t="s">
        <v>388</v>
      </c>
      <c r="H14" s="7" t="s">
        <v>388</v>
      </c>
      <c r="I14" s="7" t="s">
        <v>388</v>
      </c>
      <c r="J14" s="7">
        <v>1</v>
      </c>
      <c r="K14" s="7" t="s">
        <v>388</v>
      </c>
      <c r="L14" s="7" t="s">
        <v>388</v>
      </c>
      <c r="M14" s="227" t="s">
        <v>388</v>
      </c>
      <c r="N14" s="235" t="s">
        <v>390</v>
      </c>
      <c r="O14" s="25"/>
      <c r="P14" s="25"/>
      <c r="Q14" s="25"/>
      <c r="R14" s="25"/>
      <c r="S14" s="25"/>
      <c r="T14" s="25"/>
    </row>
    <row r="15" spans="1:20" x14ac:dyDescent="0.3">
      <c r="A15" s="25"/>
      <c r="B15" s="231" t="s">
        <v>303</v>
      </c>
      <c r="C15" s="336" t="s">
        <v>385</v>
      </c>
      <c r="D15" s="9" t="s">
        <v>385</v>
      </c>
      <c r="E15" s="233" t="s">
        <v>391</v>
      </c>
      <c r="F15" s="238" t="s">
        <v>388</v>
      </c>
      <c r="G15" s="226" t="s">
        <v>388</v>
      </c>
      <c r="H15" s="7" t="s">
        <v>388</v>
      </c>
      <c r="I15" s="7" t="s">
        <v>388</v>
      </c>
      <c r="J15" s="7">
        <v>1</v>
      </c>
      <c r="K15" s="7" t="s">
        <v>388</v>
      </c>
      <c r="L15" s="7" t="s">
        <v>388</v>
      </c>
      <c r="M15" s="227" t="s">
        <v>388</v>
      </c>
      <c r="N15" s="235" t="s">
        <v>392</v>
      </c>
      <c r="O15" s="25"/>
      <c r="P15" s="25"/>
      <c r="Q15" s="25"/>
      <c r="R15" s="25"/>
      <c r="S15" s="25"/>
      <c r="T15" s="25"/>
    </row>
    <row r="16" spans="1:20" x14ac:dyDescent="0.3">
      <c r="A16" s="25"/>
      <c r="B16" s="231" t="s">
        <v>304</v>
      </c>
      <c r="C16" s="336" t="s">
        <v>385</v>
      </c>
      <c r="D16" s="9" t="s">
        <v>385</v>
      </c>
      <c r="E16" s="233" t="s">
        <v>391</v>
      </c>
      <c r="F16" s="238" t="s">
        <v>388</v>
      </c>
      <c r="G16" s="226" t="s">
        <v>388</v>
      </c>
      <c r="H16" s="7" t="s">
        <v>388</v>
      </c>
      <c r="I16" s="7" t="s">
        <v>388</v>
      </c>
      <c r="J16" s="7">
        <v>1</v>
      </c>
      <c r="K16" s="7" t="s">
        <v>388</v>
      </c>
      <c r="L16" s="7" t="s">
        <v>388</v>
      </c>
      <c r="M16" s="227" t="s">
        <v>388</v>
      </c>
      <c r="N16" s="235" t="s">
        <v>392</v>
      </c>
      <c r="O16" s="25"/>
      <c r="P16" s="25"/>
      <c r="Q16" s="25"/>
      <c r="R16" s="25"/>
      <c r="S16" s="25"/>
      <c r="T16" s="25"/>
    </row>
    <row r="17" spans="1:20" x14ac:dyDescent="0.3">
      <c r="A17" s="25"/>
      <c r="B17" s="231" t="s">
        <v>305</v>
      </c>
      <c r="C17" s="226" t="s">
        <v>111</v>
      </c>
      <c r="D17" s="7" t="s">
        <v>393</v>
      </c>
      <c r="E17" s="227" t="s">
        <v>394</v>
      </c>
      <c r="F17" s="238" t="s">
        <v>383</v>
      </c>
      <c r="G17" s="226">
        <v>4</v>
      </c>
      <c r="H17" s="7">
        <v>7</v>
      </c>
      <c r="I17" s="7" t="s">
        <v>388</v>
      </c>
      <c r="J17" s="7" t="s">
        <v>388</v>
      </c>
      <c r="K17" s="7" t="s">
        <v>388</v>
      </c>
      <c r="L17" s="7">
        <v>10</v>
      </c>
      <c r="M17" s="227">
        <v>15</v>
      </c>
      <c r="N17" s="235" t="s">
        <v>395</v>
      </c>
      <c r="O17" s="25"/>
      <c r="P17" s="25"/>
      <c r="Q17" s="25"/>
      <c r="R17" s="25"/>
      <c r="S17" s="25"/>
      <c r="T17" s="25"/>
    </row>
    <row r="18" spans="1:20" x14ac:dyDescent="0.3">
      <c r="A18" s="25"/>
      <c r="B18" s="231" t="s">
        <v>306</v>
      </c>
      <c r="C18" s="226" t="s">
        <v>111</v>
      </c>
      <c r="D18" s="7" t="s">
        <v>393</v>
      </c>
      <c r="E18" s="227" t="s">
        <v>306</v>
      </c>
      <c r="F18" s="238" t="s">
        <v>383</v>
      </c>
      <c r="G18" s="226">
        <v>10</v>
      </c>
      <c r="H18" s="7">
        <v>15</v>
      </c>
      <c r="I18" s="7" t="s">
        <v>388</v>
      </c>
      <c r="J18" s="7" t="s">
        <v>388</v>
      </c>
      <c r="K18" s="7" t="s">
        <v>388</v>
      </c>
      <c r="L18" s="7">
        <v>10</v>
      </c>
      <c r="M18" s="227">
        <v>15</v>
      </c>
      <c r="N18" s="235" t="s">
        <v>396</v>
      </c>
      <c r="O18" s="25"/>
      <c r="P18" s="25"/>
      <c r="Q18" s="25"/>
      <c r="R18" s="25"/>
      <c r="S18" s="25"/>
      <c r="T18" s="25"/>
    </row>
    <row r="19" spans="1:20" x14ac:dyDescent="0.3">
      <c r="A19" s="25"/>
      <c r="B19" s="231" t="s">
        <v>307</v>
      </c>
      <c r="C19" s="226" t="s">
        <v>111</v>
      </c>
      <c r="D19" s="7" t="s">
        <v>393</v>
      </c>
      <c r="E19" s="227" t="s">
        <v>307</v>
      </c>
      <c r="F19" s="238" t="s">
        <v>383</v>
      </c>
      <c r="G19" s="226">
        <v>5</v>
      </c>
      <c r="H19" s="7">
        <v>10</v>
      </c>
      <c r="I19" s="7" t="s">
        <v>388</v>
      </c>
      <c r="J19" s="7" t="s">
        <v>388</v>
      </c>
      <c r="K19" s="7" t="s">
        <v>388</v>
      </c>
      <c r="L19" s="7">
        <v>10</v>
      </c>
      <c r="M19" s="227">
        <v>15</v>
      </c>
      <c r="N19" s="235" t="s">
        <v>396</v>
      </c>
      <c r="O19" s="25"/>
      <c r="P19" s="25"/>
      <c r="Q19" s="25"/>
      <c r="R19" s="25"/>
      <c r="S19" s="25"/>
      <c r="T19" s="25"/>
    </row>
    <row r="20" spans="1:20" x14ac:dyDescent="0.3">
      <c r="A20" s="25"/>
      <c r="B20" s="231" t="s">
        <v>308</v>
      </c>
      <c r="C20" s="226" t="s">
        <v>111</v>
      </c>
      <c r="D20" s="7" t="s">
        <v>393</v>
      </c>
      <c r="E20" s="227" t="s">
        <v>308</v>
      </c>
      <c r="F20" s="238" t="s">
        <v>383</v>
      </c>
      <c r="G20" s="226">
        <v>10</v>
      </c>
      <c r="H20" s="7">
        <v>15</v>
      </c>
      <c r="I20" s="7" t="s">
        <v>388</v>
      </c>
      <c r="J20" s="7" t="s">
        <v>388</v>
      </c>
      <c r="K20" s="7" t="s">
        <v>388</v>
      </c>
      <c r="L20" s="7">
        <v>10</v>
      </c>
      <c r="M20" s="227">
        <v>15</v>
      </c>
      <c r="N20" s="235" t="s">
        <v>396</v>
      </c>
      <c r="O20" s="25"/>
      <c r="P20" s="25"/>
      <c r="Q20" s="25"/>
      <c r="R20" s="25"/>
      <c r="S20" s="25"/>
      <c r="T20" s="25"/>
    </row>
    <row r="21" spans="1:20" x14ac:dyDescent="0.3">
      <c r="A21" s="25"/>
      <c r="B21" s="231" t="s">
        <v>309</v>
      </c>
      <c r="C21" s="226" t="s">
        <v>111</v>
      </c>
      <c r="D21" s="7" t="s">
        <v>393</v>
      </c>
      <c r="E21" s="227" t="s">
        <v>309</v>
      </c>
      <c r="F21" s="238" t="s">
        <v>383</v>
      </c>
      <c r="G21" s="226">
        <v>5</v>
      </c>
      <c r="H21" s="7">
        <v>10</v>
      </c>
      <c r="I21" s="7" t="s">
        <v>388</v>
      </c>
      <c r="J21" s="7" t="s">
        <v>388</v>
      </c>
      <c r="K21" s="7" t="s">
        <v>388</v>
      </c>
      <c r="L21" s="7">
        <v>3</v>
      </c>
      <c r="M21" s="227">
        <v>10</v>
      </c>
      <c r="N21" s="235" t="s">
        <v>396</v>
      </c>
      <c r="O21" s="25"/>
      <c r="P21" s="25"/>
      <c r="Q21" s="25"/>
      <c r="R21" s="25"/>
      <c r="S21" s="25"/>
      <c r="T21" s="25"/>
    </row>
    <row r="22" spans="1:20" ht="28.8" x14ac:dyDescent="0.3">
      <c r="A22" s="25"/>
      <c r="B22" s="231" t="s">
        <v>310</v>
      </c>
      <c r="C22" s="336" t="s">
        <v>385</v>
      </c>
      <c r="D22" s="9" t="s">
        <v>385</v>
      </c>
      <c r="E22" s="227" t="s">
        <v>397</v>
      </c>
      <c r="F22" s="238" t="s">
        <v>388</v>
      </c>
      <c r="G22" s="226" t="s">
        <v>388</v>
      </c>
      <c r="H22" s="7" t="s">
        <v>388</v>
      </c>
      <c r="I22" s="7" t="s">
        <v>388</v>
      </c>
      <c r="J22" s="7">
        <v>1</v>
      </c>
      <c r="K22" s="7" t="s">
        <v>388</v>
      </c>
      <c r="L22" s="7" t="s">
        <v>388</v>
      </c>
      <c r="M22" s="227" t="s">
        <v>388</v>
      </c>
      <c r="N22" s="235" t="s">
        <v>398</v>
      </c>
      <c r="O22" s="25"/>
      <c r="P22" s="25"/>
      <c r="Q22" s="25"/>
      <c r="R22" s="25"/>
      <c r="S22" s="25"/>
      <c r="T22" s="25"/>
    </row>
    <row r="23" spans="1:20" x14ac:dyDescent="0.3">
      <c r="A23" s="25"/>
      <c r="B23" s="231" t="s">
        <v>311</v>
      </c>
      <c r="C23" s="226" t="s">
        <v>111</v>
      </c>
      <c r="D23" s="7" t="s">
        <v>393</v>
      </c>
      <c r="E23" s="227" t="s">
        <v>311</v>
      </c>
      <c r="F23" s="238" t="s">
        <v>383</v>
      </c>
      <c r="G23" s="226">
        <v>5</v>
      </c>
      <c r="H23" s="7">
        <v>10</v>
      </c>
      <c r="I23" s="7" t="s">
        <v>388</v>
      </c>
      <c r="J23" s="7" t="s">
        <v>388</v>
      </c>
      <c r="K23" s="7" t="s">
        <v>388</v>
      </c>
      <c r="L23" s="7">
        <v>3</v>
      </c>
      <c r="M23" s="227">
        <v>10</v>
      </c>
      <c r="N23" s="235" t="s">
        <v>396</v>
      </c>
      <c r="O23" s="25"/>
      <c r="P23" s="25"/>
      <c r="Q23" s="25"/>
      <c r="R23" s="25"/>
      <c r="S23" s="25"/>
      <c r="T23" s="25"/>
    </row>
    <row r="24" spans="1:20" x14ac:dyDescent="0.3">
      <c r="A24" s="25"/>
      <c r="B24" s="231" t="s">
        <v>312</v>
      </c>
      <c r="C24" s="226" t="s">
        <v>111</v>
      </c>
      <c r="D24" s="7" t="s">
        <v>393</v>
      </c>
      <c r="E24" s="227" t="s">
        <v>312</v>
      </c>
      <c r="F24" s="238" t="s">
        <v>383</v>
      </c>
      <c r="G24" s="226">
        <v>5</v>
      </c>
      <c r="H24" s="7">
        <v>10</v>
      </c>
      <c r="I24" s="7" t="s">
        <v>388</v>
      </c>
      <c r="J24" s="7" t="s">
        <v>388</v>
      </c>
      <c r="K24" s="7" t="s">
        <v>388</v>
      </c>
      <c r="L24" s="7">
        <v>3</v>
      </c>
      <c r="M24" s="227">
        <v>10</v>
      </c>
      <c r="N24" s="235" t="s">
        <v>396</v>
      </c>
      <c r="O24" s="25"/>
      <c r="P24" s="25"/>
      <c r="Q24" s="25"/>
      <c r="R24" s="25"/>
      <c r="S24" s="25"/>
      <c r="T24" s="25"/>
    </row>
    <row r="25" spans="1:20" x14ac:dyDescent="0.3">
      <c r="A25" s="25"/>
      <c r="B25" s="231" t="s">
        <v>313</v>
      </c>
      <c r="C25" s="226" t="s">
        <v>111</v>
      </c>
      <c r="D25" s="7" t="s">
        <v>393</v>
      </c>
      <c r="E25" s="227" t="s">
        <v>313</v>
      </c>
      <c r="F25" s="238" t="s">
        <v>383</v>
      </c>
      <c r="G25" s="226">
        <v>10</v>
      </c>
      <c r="H25" s="7">
        <v>15</v>
      </c>
      <c r="I25" s="7" t="s">
        <v>388</v>
      </c>
      <c r="J25" s="7" t="s">
        <v>388</v>
      </c>
      <c r="K25" s="7" t="s">
        <v>388</v>
      </c>
      <c r="L25" s="7">
        <v>7</v>
      </c>
      <c r="M25" s="227">
        <v>15</v>
      </c>
      <c r="N25" s="235" t="s">
        <v>396</v>
      </c>
      <c r="O25" s="25"/>
      <c r="P25" s="25"/>
      <c r="Q25" s="25"/>
      <c r="R25" s="25"/>
      <c r="S25" s="25"/>
      <c r="T25" s="25"/>
    </row>
    <row r="26" spans="1:20" x14ac:dyDescent="0.3">
      <c r="A26" s="25"/>
      <c r="B26" s="231" t="s">
        <v>314</v>
      </c>
      <c r="C26" s="226" t="s">
        <v>111</v>
      </c>
      <c r="D26" s="7" t="s">
        <v>393</v>
      </c>
      <c r="E26" s="227" t="s">
        <v>314</v>
      </c>
      <c r="F26" s="238" t="s">
        <v>383</v>
      </c>
      <c r="G26" s="226">
        <v>5</v>
      </c>
      <c r="H26" s="7">
        <v>10</v>
      </c>
      <c r="I26" s="7" t="s">
        <v>388</v>
      </c>
      <c r="J26" s="7" t="s">
        <v>388</v>
      </c>
      <c r="K26" s="7" t="s">
        <v>388</v>
      </c>
      <c r="L26" s="7">
        <v>3</v>
      </c>
      <c r="M26" s="227">
        <v>10</v>
      </c>
      <c r="N26" s="235" t="s">
        <v>396</v>
      </c>
      <c r="O26" s="25"/>
      <c r="P26" s="25"/>
      <c r="Q26" s="25"/>
      <c r="R26" s="25"/>
      <c r="S26" s="25"/>
      <c r="T26" s="25"/>
    </row>
    <row r="27" spans="1:20" ht="28.8" x14ac:dyDescent="0.3">
      <c r="A27" s="25"/>
      <c r="B27" s="231" t="s">
        <v>315</v>
      </c>
      <c r="C27" s="336" t="s">
        <v>385</v>
      </c>
      <c r="D27" s="9" t="s">
        <v>385</v>
      </c>
      <c r="E27" s="227" t="s">
        <v>397</v>
      </c>
      <c r="F27" s="238" t="s">
        <v>388</v>
      </c>
      <c r="G27" s="226" t="s">
        <v>388</v>
      </c>
      <c r="H27" s="7" t="s">
        <v>388</v>
      </c>
      <c r="I27" s="7" t="s">
        <v>388</v>
      </c>
      <c r="J27" s="7">
        <v>1</v>
      </c>
      <c r="K27" s="7" t="s">
        <v>388</v>
      </c>
      <c r="L27" s="7" t="s">
        <v>388</v>
      </c>
      <c r="M27" s="227" t="s">
        <v>388</v>
      </c>
      <c r="N27" s="235" t="s">
        <v>398</v>
      </c>
      <c r="O27" s="25"/>
      <c r="P27" s="25"/>
      <c r="Q27" s="25"/>
      <c r="R27" s="25"/>
      <c r="S27" s="25"/>
      <c r="T27" s="25"/>
    </row>
    <row r="28" spans="1:20" ht="28.8" x14ac:dyDescent="0.3">
      <c r="A28" s="25"/>
      <c r="B28" s="231" t="s">
        <v>316</v>
      </c>
      <c r="C28" s="336" t="s">
        <v>385</v>
      </c>
      <c r="D28" s="9" t="s">
        <v>385</v>
      </c>
      <c r="E28" s="227" t="s">
        <v>397</v>
      </c>
      <c r="F28" s="238" t="s">
        <v>388</v>
      </c>
      <c r="G28" s="226" t="s">
        <v>388</v>
      </c>
      <c r="H28" s="7" t="s">
        <v>388</v>
      </c>
      <c r="I28" s="7" t="s">
        <v>388</v>
      </c>
      <c r="J28" s="7">
        <v>1</v>
      </c>
      <c r="K28" s="7" t="s">
        <v>388</v>
      </c>
      <c r="L28" s="7" t="s">
        <v>388</v>
      </c>
      <c r="M28" s="227" t="s">
        <v>388</v>
      </c>
      <c r="N28" s="235" t="s">
        <v>398</v>
      </c>
      <c r="O28" s="25"/>
      <c r="P28" s="25"/>
      <c r="Q28" s="25"/>
      <c r="R28" s="25"/>
      <c r="S28" s="25"/>
      <c r="T28" s="25"/>
    </row>
    <row r="29" spans="1:20" x14ac:dyDescent="0.3">
      <c r="A29" s="25"/>
      <c r="B29" s="231" t="s">
        <v>317</v>
      </c>
      <c r="C29" s="226" t="s">
        <v>111</v>
      </c>
      <c r="D29" s="7" t="s">
        <v>393</v>
      </c>
      <c r="E29" s="227" t="s">
        <v>317</v>
      </c>
      <c r="F29" s="238" t="s">
        <v>383</v>
      </c>
      <c r="G29" s="226">
        <v>10</v>
      </c>
      <c r="H29" s="7">
        <v>15</v>
      </c>
      <c r="I29" s="7" t="s">
        <v>388</v>
      </c>
      <c r="J29" s="7" t="s">
        <v>388</v>
      </c>
      <c r="K29" s="7" t="s">
        <v>388</v>
      </c>
      <c r="L29" s="7">
        <v>7</v>
      </c>
      <c r="M29" s="227">
        <v>15</v>
      </c>
      <c r="N29" s="235" t="s">
        <v>396</v>
      </c>
      <c r="O29" s="25"/>
      <c r="P29" s="25"/>
      <c r="Q29" s="25"/>
      <c r="R29" s="25"/>
      <c r="S29" s="25"/>
      <c r="T29" s="25"/>
    </row>
    <row r="30" spans="1:20" x14ac:dyDescent="0.3">
      <c r="A30" s="25"/>
      <c r="B30" s="231" t="s">
        <v>318</v>
      </c>
      <c r="C30" s="226" t="s">
        <v>111</v>
      </c>
      <c r="D30" s="7" t="s">
        <v>393</v>
      </c>
      <c r="E30" s="227" t="s">
        <v>399</v>
      </c>
      <c r="F30" s="238" t="s">
        <v>383</v>
      </c>
      <c r="G30" s="226">
        <v>3</v>
      </c>
      <c r="H30" s="7">
        <v>5</v>
      </c>
      <c r="I30" s="7" t="s">
        <v>388</v>
      </c>
      <c r="J30" s="7" t="s">
        <v>388</v>
      </c>
      <c r="K30" s="7" t="s">
        <v>388</v>
      </c>
      <c r="L30" s="7">
        <v>4</v>
      </c>
      <c r="M30" s="227">
        <v>5</v>
      </c>
      <c r="N30" s="235" t="s">
        <v>400</v>
      </c>
      <c r="O30" s="25"/>
      <c r="P30" s="25"/>
      <c r="Q30" s="25"/>
      <c r="R30" s="25"/>
      <c r="S30" s="25"/>
      <c r="T30" s="25"/>
    </row>
    <row r="31" spans="1:20" x14ac:dyDescent="0.3">
      <c r="A31" s="25"/>
      <c r="B31" s="231" t="s">
        <v>320</v>
      </c>
      <c r="C31" s="226" t="s">
        <v>111</v>
      </c>
      <c r="D31" s="7" t="s">
        <v>393</v>
      </c>
      <c r="E31" s="227" t="s">
        <v>320</v>
      </c>
      <c r="F31" s="238" t="s">
        <v>383</v>
      </c>
      <c r="G31" s="226">
        <v>3</v>
      </c>
      <c r="H31" s="7">
        <v>5</v>
      </c>
      <c r="I31" s="7" t="s">
        <v>388</v>
      </c>
      <c r="J31" s="7" t="s">
        <v>388</v>
      </c>
      <c r="K31" s="7" t="s">
        <v>388</v>
      </c>
      <c r="L31" s="7">
        <v>4</v>
      </c>
      <c r="M31" s="227">
        <v>5</v>
      </c>
      <c r="N31" s="235" t="s">
        <v>396</v>
      </c>
      <c r="O31" s="25"/>
      <c r="P31" s="25"/>
      <c r="Q31" s="25"/>
      <c r="R31" s="25"/>
      <c r="S31" s="25"/>
      <c r="T31" s="25"/>
    </row>
    <row r="32" spans="1:20" x14ac:dyDescent="0.3">
      <c r="A32" s="25"/>
      <c r="B32" s="231" t="s">
        <v>321</v>
      </c>
      <c r="C32" s="226" t="s">
        <v>111</v>
      </c>
      <c r="D32" s="7" t="s">
        <v>393</v>
      </c>
      <c r="E32" s="227" t="s">
        <v>321</v>
      </c>
      <c r="F32" s="238" t="s">
        <v>383</v>
      </c>
      <c r="G32" s="226">
        <v>5</v>
      </c>
      <c r="H32" s="7">
        <v>10</v>
      </c>
      <c r="I32" s="7" t="s">
        <v>388</v>
      </c>
      <c r="J32" s="7" t="s">
        <v>388</v>
      </c>
      <c r="K32" s="7" t="s">
        <v>388</v>
      </c>
      <c r="L32" s="7">
        <v>20</v>
      </c>
      <c r="M32" s="227">
        <v>10</v>
      </c>
      <c r="N32" s="235" t="s">
        <v>396</v>
      </c>
      <c r="O32" s="25"/>
      <c r="P32" s="25"/>
      <c r="Q32" s="25"/>
      <c r="R32" s="25"/>
      <c r="S32" s="25"/>
      <c r="T32" s="25"/>
    </row>
    <row r="33" spans="1:20" x14ac:dyDescent="0.3">
      <c r="A33" s="25"/>
      <c r="B33" s="231" t="s">
        <v>322</v>
      </c>
      <c r="C33" s="226" t="s">
        <v>111</v>
      </c>
      <c r="D33" s="7" t="s">
        <v>393</v>
      </c>
      <c r="E33" s="227" t="s">
        <v>322</v>
      </c>
      <c r="F33" s="238" t="s">
        <v>383</v>
      </c>
      <c r="G33" s="226">
        <v>3</v>
      </c>
      <c r="H33" s="7">
        <v>5</v>
      </c>
      <c r="I33" s="7" t="s">
        <v>388</v>
      </c>
      <c r="J33" s="7" t="s">
        <v>388</v>
      </c>
      <c r="K33" s="7" t="s">
        <v>388</v>
      </c>
      <c r="L33" s="7">
        <v>2</v>
      </c>
      <c r="M33" s="227" t="s">
        <v>388</v>
      </c>
      <c r="N33" s="235" t="s">
        <v>396</v>
      </c>
      <c r="O33" s="25"/>
      <c r="P33" s="25"/>
      <c r="Q33" s="25"/>
      <c r="R33" s="25"/>
      <c r="S33" s="25"/>
      <c r="T33" s="25"/>
    </row>
    <row r="34" spans="1:20" x14ac:dyDescent="0.3">
      <c r="A34" s="25"/>
      <c r="B34" s="231" t="s">
        <v>323</v>
      </c>
      <c r="C34" s="226" t="s">
        <v>111</v>
      </c>
      <c r="D34" s="7" t="s">
        <v>393</v>
      </c>
      <c r="E34" s="227" t="s">
        <v>323</v>
      </c>
      <c r="F34" s="238" t="s">
        <v>383</v>
      </c>
      <c r="G34" s="226">
        <v>10</v>
      </c>
      <c r="H34" s="7">
        <v>20</v>
      </c>
      <c r="I34" s="7" t="s">
        <v>388</v>
      </c>
      <c r="J34" s="7" t="s">
        <v>388</v>
      </c>
      <c r="K34" s="7" t="s">
        <v>388</v>
      </c>
      <c r="L34" s="7">
        <v>10</v>
      </c>
      <c r="M34" s="227">
        <v>20</v>
      </c>
      <c r="N34" s="235" t="s">
        <v>396</v>
      </c>
      <c r="O34" s="25"/>
      <c r="P34" s="25"/>
      <c r="Q34" s="25"/>
      <c r="R34" s="25"/>
      <c r="S34" s="25"/>
      <c r="T34" s="25"/>
    </row>
    <row r="35" spans="1:20" x14ac:dyDescent="0.3">
      <c r="A35" s="25"/>
      <c r="B35" s="231" t="s">
        <v>324</v>
      </c>
      <c r="C35" s="226" t="s">
        <v>111</v>
      </c>
      <c r="D35" s="7" t="s">
        <v>393</v>
      </c>
      <c r="E35" s="231" t="s">
        <v>324</v>
      </c>
      <c r="F35" s="238" t="s">
        <v>383</v>
      </c>
      <c r="G35" s="226">
        <v>3</v>
      </c>
      <c r="H35" s="7">
        <v>5</v>
      </c>
      <c r="I35" s="7" t="s">
        <v>388</v>
      </c>
      <c r="J35" s="7" t="s">
        <v>388</v>
      </c>
      <c r="K35" s="7" t="s">
        <v>388</v>
      </c>
      <c r="L35" s="7">
        <v>2</v>
      </c>
      <c r="M35" s="227" t="s">
        <v>388</v>
      </c>
      <c r="N35" s="235" t="s">
        <v>396</v>
      </c>
      <c r="O35" s="25"/>
      <c r="P35" s="25"/>
      <c r="Q35" s="25"/>
      <c r="R35" s="25"/>
      <c r="S35" s="25"/>
      <c r="T35" s="25"/>
    </row>
    <row r="36" spans="1:20" x14ac:dyDescent="0.3">
      <c r="A36" s="25"/>
      <c r="B36" s="231" t="s">
        <v>325</v>
      </c>
      <c r="C36" s="226" t="s">
        <v>111</v>
      </c>
      <c r="D36" s="7" t="s">
        <v>393</v>
      </c>
      <c r="E36" s="227" t="s">
        <v>325</v>
      </c>
      <c r="F36" s="238" t="s">
        <v>383</v>
      </c>
      <c r="G36" s="226">
        <v>1</v>
      </c>
      <c r="H36" s="7">
        <v>1</v>
      </c>
      <c r="I36" s="7" t="s">
        <v>388</v>
      </c>
      <c r="J36" s="7" t="s">
        <v>388</v>
      </c>
      <c r="K36" s="7" t="s">
        <v>388</v>
      </c>
      <c r="L36" s="7">
        <v>1</v>
      </c>
      <c r="M36" s="227">
        <v>1</v>
      </c>
      <c r="N36" s="235" t="s">
        <v>396</v>
      </c>
      <c r="O36" s="25"/>
      <c r="P36" s="25"/>
      <c r="Q36" s="25"/>
      <c r="R36" s="25"/>
      <c r="S36" s="25"/>
      <c r="T36" s="25"/>
    </row>
    <row r="37" spans="1:20" x14ac:dyDescent="0.3">
      <c r="A37" s="25"/>
      <c r="B37" s="231" t="s">
        <v>326</v>
      </c>
      <c r="C37" s="226" t="s">
        <v>386</v>
      </c>
      <c r="D37" s="7" t="s">
        <v>386</v>
      </c>
      <c r="E37" s="233" t="s">
        <v>387</v>
      </c>
      <c r="F37" s="238" t="s">
        <v>388</v>
      </c>
      <c r="G37" s="226" t="s">
        <v>388</v>
      </c>
      <c r="H37" s="7" t="s">
        <v>388</v>
      </c>
      <c r="I37" s="7" t="s">
        <v>388</v>
      </c>
      <c r="J37" s="7" t="s">
        <v>388</v>
      </c>
      <c r="K37" s="7">
        <v>0</v>
      </c>
      <c r="L37" s="7" t="s">
        <v>388</v>
      </c>
      <c r="M37" s="227" t="s">
        <v>388</v>
      </c>
      <c r="N37" s="235" t="s">
        <v>387</v>
      </c>
      <c r="O37" s="25"/>
      <c r="P37" s="25"/>
      <c r="Q37" s="25"/>
      <c r="R37" s="25"/>
      <c r="S37" s="25"/>
      <c r="T37" s="25"/>
    </row>
    <row r="38" spans="1:20" x14ac:dyDescent="0.3">
      <c r="A38" s="25"/>
      <c r="B38" s="231" t="s">
        <v>329</v>
      </c>
      <c r="C38" s="226" t="s">
        <v>111</v>
      </c>
      <c r="D38" s="7" t="s">
        <v>393</v>
      </c>
      <c r="E38" s="227" t="s">
        <v>329</v>
      </c>
      <c r="F38" s="238" t="s">
        <v>383</v>
      </c>
      <c r="G38" s="226">
        <v>1</v>
      </c>
      <c r="H38" s="7">
        <v>3</v>
      </c>
      <c r="I38" s="7" t="s">
        <v>388</v>
      </c>
      <c r="J38" s="7" t="s">
        <v>388</v>
      </c>
      <c r="K38" s="7" t="s">
        <v>388</v>
      </c>
      <c r="L38" s="7">
        <v>2</v>
      </c>
      <c r="M38" s="227">
        <v>3</v>
      </c>
      <c r="N38" s="235" t="s">
        <v>396</v>
      </c>
      <c r="O38" s="25"/>
      <c r="P38" s="25"/>
      <c r="Q38" s="25"/>
      <c r="R38" s="25"/>
      <c r="S38" s="25"/>
      <c r="T38" s="25"/>
    </row>
    <row r="39" spans="1:20" x14ac:dyDescent="0.3">
      <c r="A39" s="25"/>
      <c r="B39" s="231" t="s">
        <v>330</v>
      </c>
      <c r="C39" s="226" t="s">
        <v>111</v>
      </c>
      <c r="D39" s="7" t="s">
        <v>393</v>
      </c>
      <c r="E39" s="227" t="s">
        <v>330</v>
      </c>
      <c r="F39" s="238" t="s">
        <v>383</v>
      </c>
      <c r="G39" s="226">
        <v>5</v>
      </c>
      <c r="H39" s="7">
        <v>10</v>
      </c>
      <c r="I39" s="7" t="s">
        <v>388</v>
      </c>
      <c r="J39" s="7" t="s">
        <v>388</v>
      </c>
      <c r="K39" s="7" t="s">
        <v>388</v>
      </c>
      <c r="L39" s="7">
        <v>5</v>
      </c>
      <c r="M39" s="227">
        <v>10</v>
      </c>
      <c r="N39" s="235" t="s">
        <v>396</v>
      </c>
      <c r="O39" s="25"/>
      <c r="P39" s="25"/>
      <c r="Q39" s="25"/>
      <c r="R39" s="25"/>
      <c r="S39" s="25"/>
      <c r="T39" s="25"/>
    </row>
    <row r="40" spans="1:20" x14ac:dyDescent="0.3">
      <c r="A40" s="25"/>
      <c r="B40" s="231" t="s">
        <v>331</v>
      </c>
      <c r="C40" s="226" t="s">
        <v>386</v>
      </c>
      <c r="D40" s="7" t="s">
        <v>386</v>
      </c>
      <c r="E40" s="233" t="s">
        <v>387</v>
      </c>
      <c r="F40" s="238" t="s">
        <v>388</v>
      </c>
      <c r="G40" s="226" t="s">
        <v>388</v>
      </c>
      <c r="H40" s="7" t="s">
        <v>388</v>
      </c>
      <c r="I40" s="7" t="s">
        <v>388</v>
      </c>
      <c r="J40" s="7" t="s">
        <v>388</v>
      </c>
      <c r="K40" s="7">
        <v>0</v>
      </c>
      <c r="L40" s="7" t="s">
        <v>388</v>
      </c>
      <c r="M40" s="227" t="s">
        <v>388</v>
      </c>
      <c r="N40" s="235" t="s">
        <v>387</v>
      </c>
      <c r="O40" s="25"/>
      <c r="P40" s="25"/>
      <c r="Q40" s="25"/>
      <c r="R40" s="25"/>
      <c r="S40" s="25"/>
      <c r="T40" s="25"/>
    </row>
    <row r="41" spans="1:20" x14ac:dyDescent="0.3">
      <c r="A41" s="25"/>
      <c r="B41" s="231" t="s">
        <v>332</v>
      </c>
      <c r="C41" s="226" t="s">
        <v>111</v>
      </c>
      <c r="D41" s="7" t="s">
        <v>393</v>
      </c>
      <c r="E41" s="227" t="s">
        <v>332</v>
      </c>
      <c r="F41" s="238" t="s">
        <v>383</v>
      </c>
      <c r="G41" s="226">
        <v>15</v>
      </c>
      <c r="H41" s="7">
        <v>20</v>
      </c>
      <c r="I41" s="7" t="s">
        <v>388</v>
      </c>
      <c r="J41" s="7" t="s">
        <v>388</v>
      </c>
      <c r="K41" s="7" t="s">
        <v>388</v>
      </c>
      <c r="L41" s="7">
        <v>15</v>
      </c>
      <c r="M41" s="227">
        <v>20</v>
      </c>
      <c r="N41" s="235" t="s">
        <v>396</v>
      </c>
      <c r="O41" s="25"/>
      <c r="P41" s="25"/>
      <c r="Q41" s="25"/>
      <c r="R41" s="25"/>
      <c r="S41" s="25"/>
      <c r="T41" s="25"/>
    </row>
    <row r="42" spans="1:20" x14ac:dyDescent="0.3">
      <c r="A42" s="25"/>
      <c r="B42" s="231" t="s">
        <v>333</v>
      </c>
      <c r="C42" s="226" t="s">
        <v>386</v>
      </c>
      <c r="D42" s="7" t="s">
        <v>386</v>
      </c>
      <c r="E42" s="233" t="s">
        <v>387</v>
      </c>
      <c r="F42" s="238" t="s">
        <v>388</v>
      </c>
      <c r="G42" s="226" t="s">
        <v>388</v>
      </c>
      <c r="H42" s="7" t="s">
        <v>388</v>
      </c>
      <c r="I42" s="7" t="s">
        <v>388</v>
      </c>
      <c r="J42" s="7" t="s">
        <v>388</v>
      </c>
      <c r="K42" s="7">
        <v>0</v>
      </c>
      <c r="L42" s="7" t="s">
        <v>388</v>
      </c>
      <c r="M42" s="227" t="s">
        <v>388</v>
      </c>
      <c r="N42" s="235" t="s">
        <v>387</v>
      </c>
      <c r="O42" s="25"/>
      <c r="P42" s="25"/>
      <c r="Q42" s="25"/>
      <c r="R42" s="25"/>
      <c r="S42" s="25"/>
      <c r="T42" s="25"/>
    </row>
    <row r="43" spans="1:20" x14ac:dyDescent="0.3">
      <c r="A43" s="25"/>
      <c r="B43" s="231" t="s">
        <v>338</v>
      </c>
      <c r="C43" s="336" t="s">
        <v>385</v>
      </c>
      <c r="D43" s="9" t="s">
        <v>385</v>
      </c>
      <c r="E43" s="227" t="s">
        <v>330</v>
      </c>
      <c r="F43" s="238" t="s">
        <v>388</v>
      </c>
      <c r="G43" s="226" t="s">
        <v>388</v>
      </c>
      <c r="H43" s="7" t="s">
        <v>388</v>
      </c>
      <c r="I43" s="7" t="s">
        <v>388</v>
      </c>
      <c r="J43" s="7">
        <v>1</v>
      </c>
      <c r="K43" s="7" t="s">
        <v>388</v>
      </c>
      <c r="L43" s="7" t="s">
        <v>388</v>
      </c>
      <c r="M43" s="7" t="s">
        <v>388</v>
      </c>
      <c r="N43" s="235" t="s">
        <v>401</v>
      </c>
      <c r="O43" s="25"/>
      <c r="P43" s="25"/>
      <c r="Q43" s="25"/>
      <c r="R43" s="25"/>
      <c r="S43" s="25"/>
      <c r="T43" s="25"/>
    </row>
    <row r="44" spans="1:20" x14ac:dyDescent="0.3">
      <c r="A44" s="25"/>
      <c r="B44" s="231" t="s">
        <v>335</v>
      </c>
      <c r="C44" s="226" t="s">
        <v>111</v>
      </c>
      <c r="D44" s="7" t="s">
        <v>393</v>
      </c>
      <c r="E44" s="227" t="s">
        <v>335</v>
      </c>
      <c r="F44" s="238" t="s">
        <v>383</v>
      </c>
      <c r="G44" s="226">
        <v>3</v>
      </c>
      <c r="H44" s="7">
        <v>5</v>
      </c>
      <c r="I44" s="7" t="s">
        <v>388</v>
      </c>
      <c r="J44" s="7" t="s">
        <v>388</v>
      </c>
      <c r="K44" s="7" t="s">
        <v>388</v>
      </c>
      <c r="L44" s="7">
        <v>2</v>
      </c>
      <c r="M44" s="227">
        <v>5</v>
      </c>
      <c r="N44" s="235" t="s">
        <v>396</v>
      </c>
      <c r="O44" s="25"/>
      <c r="P44" s="25"/>
      <c r="Q44" s="25"/>
      <c r="R44" s="25"/>
      <c r="S44" s="25"/>
      <c r="T44" s="25"/>
    </row>
    <row r="45" spans="1:20" x14ac:dyDescent="0.3">
      <c r="A45" s="25"/>
      <c r="B45" s="231" t="s">
        <v>336</v>
      </c>
      <c r="C45" s="226" t="s">
        <v>111</v>
      </c>
      <c r="D45" s="7" t="s">
        <v>393</v>
      </c>
      <c r="E45" s="227" t="s">
        <v>336</v>
      </c>
      <c r="F45" s="238" t="s">
        <v>383</v>
      </c>
      <c r="G45" s="226">
        <v>3</v>
      </c>
      <c r="H45" s="7">
        <v>5</v>
      </c>
      <c r="I45" s="7" t="s">
        <v>388</v>
      </c>
      <c r="J45" s="7" t="s">
        <v>388</v>
      </c>
      <c r="K45" s="7" t="s">
        <v>388</v>
      </c>
      <c r="L45" s="7">
        <v>2</v>
      </c>
      <c r="M45" s="227">
        <v>5</v>
      </c>
      <c r="N45" s="235" t="s">
        <v>396</v>
      </c>
      <c r="O45" s="25"/>
      <c r="P45" s="25"/>
      <c r="Q45" s="25"/>
      <c r="R45" s="25"/>
      <c r="S45" s="25"/>
      <c r="T45" s="25"/>
    </row>
    <row r="46" spans="1:20" x14ac:dyDescent="0.3">
      <c r="A46" s="25"/>
      <c r="B46" s="231" t="s">
        <v>337</v>
      </c>
      <c r="C46" s="336" t="s">
        <v>385</v>
      </c>
      <c r="D46" s="9" t="s">
        <v>385</v>
      </c>
      <c r="E46" s="233" t="s">
        <v>387</v>
      </c>
      <c r="F46" s="238" t="s">
        <v>388</v>
      </c>
      <c r="G46" s="226" t="s">
        <v>388</v>
      </c>
      <c r="H46" s="7" t="s">
        <v>388</v>
      </c>
      <c r="I46" s="7" t="s">
        <v>388</v>
      </c>
      <c r="J46" s="7">
        <v>1</v>
      </c>
      <c r="K46" s="7" t="s">
        <v>388</v>
      </c>
      <c r="L46" s="7" t="s">
        <v>388</v>
      </c>
      <c r="M46" s="227" t="s">
        <v>388</v>
      </c>
      <c r="N46" s="235" t="s">
        <v>387</v>
      </c>
      <c r="O46" s="25"/>
      <c r="P46" s="25"/>
      <c r="Q46" s="25"/>
      <c r="R46" s="25"/>
      <c r="S46" s="25"/>
      <c r="T46" s="25"/>
    </row>
    <row r="47" spans="1:20" x14ac:dyDescent="0.3">
      <c r="A47" s="25"/>
      <c r="B47" s="231" t="s">
        <v>334</v>
      </c>
      <c r="C47" s="226" t="s">
        <v>111</v>
      </c>
      <c r="D47" s="7" t="s">
        <v>393</v>
      </c>
      <c r="E47" s="227" t="s">
        <v>402</v>
      </c>
      <c r="F47" s="238" t="s">
        <v>383</v>
      </c>
      <c r="G47" s="226">
        <v>3</v>
      </c>
      <c r="H47" s="7">
        <v>5</v>
      </c>
      <c r="I47" s="7" t="s">
        <v>388</v>
      </c>
      <c r="J47" s="7" t="s">
        <v>388</v>
      </c>
      <c r="K47" s="7" t="s">
        <v>388</v>
      </c>
      <c r="L47" s="7">
        <v>2</v>
      </c>
      <c r="M47" s="227">
        <v>10</v>
      </c>
      <c r="N47" s="235" t="s">
        <v>403</v>
      </c>
      <c r="O47" s="25"/>
      <c r="P47" s="25"/>
      <c r="Q47" s="25"/>
      <c r="R47" s="25"/>
      <c r="S47" s="25"/>
      <c r="T47" s="25"/>
    </row>
    <row r="48" spans="1:20" x14ac:dyDescent="0.3">
      <c r="A48" s="25"/>
      <c r="B48" s="231" t="s">
        <v>339</v>
      </c>
      <c r="C48" s="336" t="s">
        <v>385</v>
      </c>
      <c r="D48" s="9" t="s">
        <v>385</v>
      </c>
      <c r="E48" s="233" t="s">
        <v>387</v>
      </c>
      <c r="F48" s="238" t="s">
        <v>388</v>
      </c>
      <c r="G48" s="226" t="s">
        <v>388</v>
      </c>
      <c r="H48" s="7" t="s">
        <v>388</v>
      </c>
      <c r="I48" s="7" t="s">
        <v>388</v>
      </c>
      <c r="J48" s="7">
        <v>1</v>
      </c>
      <c r="K48" s="7" t="s">
        <v>388</v>
      </c>
      <c r="L48" s="7" t="s">
        <v>388</v>
      </c>
      <c r="M48" s="227" t="s">
        <v>388</v>
      </c>
      <c r="N48" s="235" t="s">
        <v>387</v>
      </c>
      <c r="O48" s="25"/>
      <c r="P48" s="25"/>
      <c r="Q48" s="25"/>
      <c r="R48" s="25"/>
      <c r="S48" s="25"/>
      <c r="T48" s="25"/>
    </row>
    <row r="49" spans="1:20" x14ac:dyDescent="0.3">
      <c r="A49" s="25"/>
      <c r="B49" s="231" t="s">
        <v>340</v>
      </c>
      <c r="C49" s="226" t="s">
        <v>111</v>
      </c>
      <c r="D49" s="7" t="s">
        <v>393</v>
      </c>
      <c r="E49" s="227" t="s">
        <v>340</v>
      </c>
      <c r="F49" s="238" t="s">
        <v>383</v>
      </c>
      <c r="G49" s="226">
        <v>3</v>
      </c>
      <c r="H49" s="7">
        <v>5</v>
      </c>
      <c r="I49" s="7" t="s">
        <v>388</v>
      </c>
      <c r="J49" s="7" t="s">
        <v>388</v>
      </c>
      <c r="K49" s="7" t="s">
        <v>388</v>
      </c>
      <c r="L49" s="7">
        <v>1</v>
      </c>
      <c r="M49" s="227">
        <v>1</v>
      </c>
      <c r="N49" s="235" t="s">
        <v>396</v>
      </c>
      <c r="O49" s="25"/>
      <c r="P49" s="25"/>
      <c r="Q49" s="25"/>
      <c r="R49" s="25"/>
      <c r="S49" s="25"/>
      <c r="T49" s="25"/>
    </row>
    <row r="50" spans="1:20" x14ac:dyDescent="0.3">
      <c r="A50" s="25"/>
      <c r="B50" s="231" t="s">
        <v>341</v>
      </c>
      <c r="C50" s="336" t="s">
        <v>385</v>
      </c>
      <c r="D50" s="9" t="s">
        <v>385</v>
      </c>
      <c r="E50" s="227" t="s">
        <v>323</v>
      </c>
      <c r="F50" s="238" t="s">
        <v>388</v>
      </c>
      <c r="G50" s="226" t="s">
        <v>388</v>
      </c>
      <c r="H50" s="7" t="s">
        <v>388</v>
      </c>
      <c r="I50" s="7" t="s">
        <v>388</v>
      </c>
      <c r="J50" s="7">
        <v>1</v>
      </c>
      <c r="K50" s="7" t="s">
        <v>388</v>
      </c>
      <c r="L50" s="7" t="s">
        <v>388</v>
      </c>
      <c r="M50" s="227" t="s">
        <v>388</v>
      </c>
      <c r="N50" s="235" t="s">
        <v>404</v>
      </c>
      <c r="O50" s="25"/>
      <c r="P50" s="25"/>
      <c r="Q50" s="25"/>
      <c r="R50" s="25"/>
      <c r="S50" s="25"/>
      <c r="T50" s="25"/>
    </row>
    <row r="51" spans="1:20" x14ac:dyDescent="0.3">
      <c r="A51" s="25"/>
      <c r="B51" s="231" t="s">
        <v>91</v>
      </c>
      <c r="C51" s="226" t="s">
        <v>111</v>
      </c>
      <c r="D51" s="7" t="s">
        <v>393</v>
      </c>
      <c r="E51" s="231" t="s">
        <v>91</v>
      </c>
      <c r="F51" s="238" t="s">
        <v>383</v>
      </c>
      <c r="G51" s="226">
        <v>27</v>
      </c>
      <c r="H51" s="7" t="s">
        <v>405</v>
      </c>
      <c r="I51" s="7" t="s">
        <v>388</v>
      </c>
      <c r="J51" s="7" t="s">
        <v>388</v>
      </c>
      <c r="K51" s="7" t="s">
        <v>388</v>
      </c>
      <c r="L51" s="7">
        <v>16</v>
      </c>
      <c r="M51" s="227" t="s">
        <v>388</v>
      </c>
      <c r="N51" s="235" t="s">
        <v>387</v>
      </c>
      <c r="O51" s="25"/>
      <c r="P51" s="25"/>
      <c r="Q51" s="25"/>
      <c r="R51" s="25"/>
      <c r="S51" s="25"/>
      <c r="T51" s="25"/>
    </row>
    <row r="52" spans="1:20" x14ac:dyDescent="0.3">
      <c r="A52" s="25"/>
      <c r="B52" s="231" t="s">
        <v>342</v>
      </c>
      <c r="C52" s="226" t="s">
        <v>111</v>
      </c>
      <c r="D52" s="7" t="s">
        <v>393</v>
      </c>
      <c r="E52" s="227" t="s">
        <v>342</v>
      </c>
      <c r="F52" s="238" t="s">
        <v>383</v>
      </c>
      <c r="G52" s="226">
        <v>3</v>
      </c>
      <c r="H52" s="7">
        <v>5</v>
      </c>
      <c r="I52" s="7" t="s">
        <v>388</v>
      </c>
      <c r="J52" s="7" t="s">
        <v>388</v>
      </c>
      <c r="K52" s="7" t="s">
        <v>388</v>
      </c>
      <c r="L52" s="7">
        <v>2</v>
      </c>
      <c r="M52" s="227">
        <v>5</v>
      </c>
      <c r="N52" s="235" t="s">
        <v>396</v>
      </c>
      <c r="O52" s="25"/>
      <c r="P52" s="25"/>
      <c r="Q52" s="25"/>
      <c r="R52" s="25"/>
      <c r="S52" s="25"/>
      <c r="T52" s="25"/>
    </row>
    <row r="53" spans="1:20" x14ac:dyDescent="0.3">
      <c r="A53" s="25"/>
      <c r="B53" s="231" t="s">
        <v>343</v>
      </c>
      <c r="C53" s="226" t="s">
        <v>386</v>
      </c>
      <c r="D53" s="7" t="s">
        <v>386</v>
      </c>
      <c r="E53" s="233" t="s">
        <v>387</v>
      </c>
      <c r="F53" s="238" t="s">
        <v>388</v>
      </c>
      <c r="G53" s="226" t="s">
        <v>388</v>
      </c>
      <c r="H53" s="7" t="s">
        <v>388</v>
      </c>
      <c r="I53" s="7" t="s">
        <v>388</v>
      </c>
      <c r="J53" s="7" t="s">
        <v>388</v>
      </c>
      <c r="K53" s="7">
        <v>0</v>
      </c>
      <c r="L53" s="7" t="s">
        <v>388</v>
      </c>
      <c r="M53" s="227" t="s">
        <v>388</v>
      </c>
      <c r="N53" s="235" t="s">
        <v>387</v>
      </c>
      <c r="O53" s="25"/>
      <c r="P53" s="25"/>
      <c r="Q53" s="25"/>
      <c r="R53" s="25"/>
      <c r="S53" s="25"/>
      <c r="T53" s="25"/>
    </row>
    <row r="54" spans="1:20" x14ac:dyDescent="0.3">
      <c r="A54" s="25"/>
      <c r="B54" s="231" t="s">
        <v>344</v>
      </c>
      <c r="C54" s="226" t="s">
        <v>111</v>
      </c>
      <c r="D54" s="7" t="s">
        <v>393</v>
      </c>
      <c r="E54" s="227" t="s">
        <v>344</v>
      </c>
      <c r="F54" s="238" t="s">
        <v>383</v>
      </c>
      <c r="G54" s="226">
        <v>3</v>
      </c>
      <c r="H54" s="7">
        <v>5</v>
      </c>
      <c r="I54" s="7" t="s">
        <v>388</v>
      </c>
      <c r="J54" s="7" t="s">
        <v>388</v>
      </c>
      <c r="K54" s="7" t="s">
        <v>388</v>
      </c>
      <c r="L54" s="7">
        <v>1</v>
      </c>
      <c r="M54" s="227">
        <v>1</v>
      </c>
      <c r="N54" s="235" t="s">
        <v>396</v>
      </c>
      <c r="O54" s="25"/>
      <c r="P54" s="25"/>
      <c r="Q54" s="25"/>
      <c r="R54" s="25"/>
      <c r="S54" s="25"/>
      <c r="T54" s="25"/>
    </row>
    <row r="55" spans="1:20" x14ac:dyDescent="0.3">
      <c r="A55" s="25"/>
      <c r="B55" s="231" t="s">
        <v>345</v>
      </c>
      <c r="C55" s="336" t="s">
        <v>385</v>
      </c>
      <c r="D55" s="9" t="s">
        <v>385</v>
      </c>
      <c r="E55" s="233" t="s">
        <v>387</v>
      </c>
      <c r="F55" s="238" t="s">
        <v>388</v>
      </c>
      <c r="G55" s="226" t="s">
        <v>388</v>
      </c>
      <c r="H55" s="7" t="s">
        <v>388</v>
      </c>
      <c r="I55" s="7" t="s">
        <v>388</v>
      </c>
      <c r="J55" s="7">
        <v>1</v>
      </c>
      <c r="K55" s="7" t="s">
        <v>388</v>
      </c>
      <c r="L55" s="7">
        <v>2</v>
      </c>
      <c r="M55" s="227">
        <v>5</v>
      </c>
      <c r="N55" s="235" t="s">
        <v>396</v>
      </c>
      <c r="O55" s="25"/>
      <c r="P55" s="25"/>
      <c r="Q55" s="25"/>
      <c r="R55" s="25"/>
      <c r="S55" s="25"/>
      <c r="T55" s="25"/>
    </row>
    <row r="56" spans="1:20" x14ac:dyDescent="0.3">
      <c r="A56" s="25"/>
      <c r="B56" s="231" t="s">
        <v>346</v>
      </c>
      <c r="C56" s="226" t="s">
        <v>111</v>
      </c>
      <c r="D56" s="7" t="s">
        <v>393</v>
      </c>
      <c r="E56" s="238" t="s">
        <v>346</v>
      </c>
      <c r="F56" s="238" t="s">
        <v>383</v>
      </c>
      <c r="G56" s="226">
        <v>3</v>
      </c>
      <c r="H56" s="7">
        <v>5</v>
      </c>
      <c r="I56" s="7" t="s">
        <v>388</v>
      </c>
      <c r="J56" s="7" t="s">
        <v>388</v>
      </c>
      <c r="K56" s="7" t="s">
        <v>388</v>
      </c>
      <c r="L56" s="7">
        <v>1</v>
      </c>
      <c r="M56" s="227">
        <v>1</v>
      </c>
      <c r="N56" s="235" t="s">
        <v>396</v>
      </c>
      <c r="O56" s="25"/>
      <c r="P56" s="25"/>
      <c r="Q56" s="25"/>
      <c r="R56" s="25"/>
      <c r="S56" s="25"/>
      <c r="T56" s="25"/>
    </row>
    <row r="57" spans="1:20" x14ac:dyDescent="0.3">
      <c r="A57" s="25"/>
      <c r="B57" s="231" t="s">
        <v>347</v>
      </c>
      <c r="C57" s="226" t="s">
        <v>111</v>
      </c>
      <c r="D57" s="7" t="s">
        <v>393</v>
      </c>
      <c r="E57" s="227" t="s">
        <v>406</v>
      </c>
      <c r="F57" s="238" t="s">
        <v>383</v>
      </c>
      <c r="G57" s="226">
        <v>30</v>
      </c>
      <c r="H57" s="7" t="s">
        <v>405</v>
      </c>
      <c r="I57" s="7" t="s">
        <v>388</v>
      </c>
      <c r="J57" s="7" t="s">
        <v>388</v>
      </c>
      <c r="K57" s="7" t="s">
        <v>388</v>
      </c>
      <c r="L57" s="7" t="s">
        <v>405</v>
      </c>
      <c r="M57" s="227" t="s">
        <v>388</v>
      </c>
      <c r="N57" s="235" t="s">
        <v>407</v>
      </c>
      <c r="O57" s="25"/>
      <c r="P57" s="25"/>
      <c r="Q57" s="25"/>
      <c r="R57" s="25"/>
      <c r="S57" s="25"/>
      <c r="T57" s="25"/>
    </row>
    <row r="58" spans="1:20" x14ac:dyDescent="0.3">
      <c r="A58" s="25"/>
      <c r="B58" s="231" t="s">
        <v>348</v>
      </c>
      <c r="C58" s="226" t="s">
        <v>111</v>
      </c>
      <c r="D58" s="7" t="s">
        <v>393</v>
      </c>
      <c r="E58" s="227" t="s">
        <v>348</v>
      </c>
      <c r="F58" s="238" t="s">
        <v>383</v>
      </c>
      <c r="G58" s="226" t="s">
        <v>405</v>
      </c>
      <c r="H58" s="7" t="s">
        <v>405</v>
      </c>
      <c r="I58" s="7" t="s">
        <v>388</v>
      </c>
      <c r="J58" s="7" t="s">
        <v>388</v>
      </c>
      <c r="K58" s="7" t="s">
        <v>388</v>
      </c>
      <c r="L58" s="7">
        <v>15</v>
      </c>
      <c r="M58" s="227" t="s">
        <v>405</v>
      </c>
      <c r="N58" s="235" t="s">
        <v>396</v>
      </c>
      <c r="O58" s="25"/>
      <c r="P58" s="25"/>
      <c r="Q58" s="25"/>
      <c r="R58" s="25"/>
      <c r="S58" s="25"/>
      <c r="T58" s="25"/>
    </row>
    <row r="59" spans="1:20" x14ac:dyDescent="0.3">
      <c r="A59" s="25"/>
      <c r="B59" s="231" t="s">
        <v>349</v>
      </c>
      <c r="C59" s="226" t="s">
        <v>111</v>
      </c>
      <c r="D59" s="7" t="s">
        <v>393</v>
      </c>
      <c r="E59" s="227" t="s">
        <v>349</v>
      </c>
      <c r="F59" s="238" t="s">
        <v>383</v>
      </c>
      <c r="G59" s="226">
        <v>15</v>
      </c>
      <c r="H59" s="7" t="s">
        <v>405</v>
      </c>
      <c r="I59" s="7" t="s">
        <v>388</v>
      </c>
      <c r="J59" s="7" t="s">
        <v>388</v>
      </c>
      <c r="K59" s="7" t="s">
        <v>388</v>
      </c>
      <c r="L59" s="7">
        <v>10</v>
      </c>
      <c r="M59" s="227">
        <v>25</v>
      </c>
      <c r="N59" s="235" t="s">
        <v>396</v>
      </c>
      <c r="O59" s="25"/>
      <c r="P59" s="25"/>
      <c r="Q59" s="25"/>
      <c r="R59" s="25"/>
      <c r="S59" s="25"/>
      <c r="T59" s="25"/>
    </row>
    <row r="60" spans="1:20" x14ac:dyDescent="0.3">
      <c r="A60" s="25"/>
      <c r="B60" s="231" t="s">
        <v>350</v>
      </c>
      <c r="C60" s="226" t="s">
        <v>111</v>
      </c>
      <c r="D60" s="7" t="s">
        <v>393</v>
      </c>
      <c r="E60" s="227" t="s">
        <v>350</v>
      </c>
      <c r="F60" s="238" t="s">
        <v>383</v>
      </c>
      <c r="G60" s="226">
        <v>30</v>
      </c>
      <c r="H60" s="7" t="s">
        <v>405</v>
      </c>
      <c r="I60" s="7" t="s">
        <v>388</v>
      </c>
      <c r="J60" s="7" t="s">
        <v>388</v>
      </c>
      <c r="K60" s="7" t="s">
        <v>388</v>
      </c>
      <c r="L60" s="7">
        <v>10</v>
      </c>
      <c r="M60" s="227">
        <v>25</v>
      </c>
      <c r="N60" s="235" t="s">
        <v>396</v>
      </c>
      <c r="O60" s="25"/>
      <c r="P60" s="25"/>
      <c r="Q60" s="25"/>
      <c r="R60" s="25"/>
      <c r="S60" s="25"/>
      <c r="T60" s="25"/>
    </row>
    <row r="61" spans="1:20" x14ac:dyDescent="0.3">
      <c r="A61" s="25"/>
      <c r="B61" s="231" t="s">
        <v>351</v>
      </c>
      <c r="C61" s="226" t="s">
        <v>111</v>
      </c>
      <c r="D61" s="7" t="s">
        <v>393</v>
      </c>
      <c r="E61" s="227" t="s">
        <v>351</v>
      </c>
      <c r="F61" s="238" t="s">
        <v>383</v>
      </c>
      <c r="G61" s="226">
        <v>1</v>
      </c>
      <c r="H61" s="7">
        <v>3</v>
      </c>
      <c r="I61" s="7" t="s">
        <v>388</v>
      </c>
      <c r="J61" s="7" t="s">
        <v>388</v>
      </c>
      <c r="K61" s="7" t="s">
        <v>388</v>
      </c>
      <c r="L61" s="7">
        <v>2</v>
      </c>
      <c r="M61" s="227" t="s">
        <v>388</v>
      </c>
      <c r="N61" s="235" t="s">
        <v>396</v>
      </c>
      <c r="O61" s="25"/>
      <c r="P61" s="25"/>
      <c r="Q61" s="25"/>
      <c r="R61" s="25"/>
      <c r="S61" s="25"/>
      <c r="T61" s="25"/>
    </row>
    <row r="62" spans="1:20" x14ac:dyDescent="0.3">
      <c r="A62" s="25"/>
      <c r="B62" s="231" t="s">
        <v>352</v>
      </c>
      <c r="C62" s="226" t="s">
        <v>111</v>
      </c>
      <c r="D62" s="7" t="s">
        <v>393</v>
      </c>
      <c r="E62" s="227" t="s">
        <v>352</v>
      </c>
      <c r="F62" s="238" t="s">
        <v>383</v>
      </c>
      <c r="G62" s="226">
        <v>7</v>
      </c>
      <c r="H62" s="7">
        <v>15</v>
      </c>
      <c r="I62" s="7" t="s">
        <v>388</v>
      </c>
      <c r="J62" s="7" t="s">
        <v>388</v>
      </c>
      <c r="K62" s="7" t="s">
        <v>388</v>
      </c>
      <c r="L62" s="7">
        <v>14</v>
      </c>
      <c r="M62" s="227" t="s">
        <v>388</v>
      </c>
      <c r="N62" s="235" t="s">
        <v>396</v>
      </c>
      <c r="O62" s="25"/>
      <c r="P62" s="25"/>
      <c r="Q62" s="25"/>
      <c r="R62" s="25"/>
      <c r="S62" s="25"/>
      <c r="T62" s="25"/>
    </row>
    <row r="63" spans="1:20" x14ac:dyDescent="0.3">
      <c r="A63" s="25"/>
      <c r="B63" s="231" t="s">
        <v>353</v>
      </c>
      <c r="C63" s="226" t="s">
        <v>111</v>
      </c>
      <c r="D63" s="7" t="s">
        <v>393</v>
      </c>
      <c r="E63" s="227" t="s">
        <v>353</v>
      </c>
      <c r="F63" s="238" t="s">
        <v>383</v>
      </c>
      <c r="G63" s="226">
        <v>1</v>
      </c>
      <c r="H63" s="7">
        <v>3</v>
      </c>
      <c r="I63" s="7" t="s">
        <v>388</v>
      </c>
      <c r="J63" s="7" t="s">
        <v>388</v>
      </c>
      <c r="K63" s="7" t="s">
        <v>388</v>
      </c>
      <c r="L63" s="7">
        <v>2</v>
      </c>
      <c r="M63" s="227" t="s">
        <v>388</v>
      </c>
      <c r="N63" s="235" t="s">
        <v>396</v>
      </c>
      <c r="O63" s="25"/>
      <c r="P63" s="25"/>
      <c r="Q63" s="25"/>
      <c r="R63" s="25"/>
      <c r="S63" s="25"/>
      <c r="T63" s="25"/>
    </row>
    <row r="64" spans="1:20" x14ac:dyDescent="0.3">
      <c r="A64" s="25"/>
      <c r="B64" s="231" t="s">
        <v>354</v>
      </c>
      <c r="C64" s="226" t="s">
        <v>111</v>
      </c>
      <c r="D64" s="7" t="s">
        <v>393</v>
      </c>
      <c r="E64" s="227" t="s">
        <v>354</v>
      </c>
      <c r="F64" s="238" t="s">
        <v>383</v>
      </c>
      <c r="G64" s="226">
        <v>3</v>
      </c>
      <c r="H64" s="7">
        <v>6</v>
      </c>
      <c r="I64" s="7" t="s">
        <v>388</v>
      </c>
      <c r="J64" s="7" t="s">
        <v>388</v>
      </c>
      <c r="K64" s="7" t="s">
        <v>388</v>
      </c>
      <c r="L64" s="7">
        <v>4</v>
      </c>
      <c r="M64" s="227" t="s">
        <v>388</v>
      </c>
      <c r="N64" s="235" t="s">
        <v>396</v>
      </c>
      <c r="O64" s="25"/>
      <c r="P64" s="25"/>
      <c r="Q64" s="25"/>
      <c r="R64" s="25"/>
      <c r="S64" s="25"/>
      <c r="T64" s="25"/>
    </row>
    <row r="65" spans="1:20" x14ac:dyDescent="0.3">
      <c r="A65" s="25"/>
      <c r="B65" s="231" t="s">
        <v>355</v>
      </c>
      <c r="C65" s="226" t="s">
        <v>111</v>
      </c>
      <c r="D65" s="7" t="s">
        <v>393</v>
      </c>
      <c r="E65" s="227" t="s">
        <v>355</v>
      </c>
      <c r="F65" s="238" t="s">
        <v>383</v>
      </c>
      <c r="G65" s="226">
        <v>1</v>
      </c>
      <c r="H65" s="7">
        <v>4</v>
      </c>
      <c r="I65" s="7" t="s">
        <v>388</v>
      </c>
      <c r="J65" s="7" t="s">
        <v>388</v>
      </c>
      <c r="K65" s="7" t="s">
        <v>388</v>
      </c>
      <c r="L65" s="7">
        <v>3</v>
      </c>
      <c r="M65" s="227" t="s">
        <v>388</v>
      </c>
      <c r="N65" s="235" t="s">
        <v>396</v>
      </c>
      <c r="O65" s="25"/>
      <c r="P65" s="25"/>
      <c r="Q65" s="25"/>
      <c r="R65" s="25"/>
      <c r="S65" s="25"/>
      <c r="T65" s="25"/>
    </row>
    <row r="66" spans="1:20" x14ac:dyDescent="0.3">
      <c r="A66" s="25"/>
      <c r="B66" s="231" t="s">
        <v>356</v>
      </c>
      <c r="C66" s="226" t="s">
        <v>111</v>
      </c>
      <c r="D66" s="7" t="s">
        <v>393</v>
      </c>
      <c r="E66" s="227" t="s">
        <v>356</v>
      </c>
      <c r="F66" s="238" t="s">
        <v>383</v>
      </c>
      <c r="G66" s="226">
        <v>3</v>
      </c>
      <c r="H66" s="7">
        <v>5</v>
      </c>
      <c r="I66" s="7" t="s">
        <v>388</v>
      </c>
      <c r="J66" s="7" t="s">
        <v>388</v>
      </c>
      <c r="K66" s="7" t="s">
        <v>388</v>
      </c>
      <c r="L66" s="7">
        <v>4</v>
      </c>
      <c r="M66" s="227" t="s">
        <v>388</v>
      </c>
      <c r="N66" s="235" t="s">
        <v>396</v>
      </c>
      <c r="O66" s="25"/>
      <c r="P66" s="25"/>
      <c r="Q66" s="25"/>
      <c r="R66" s="25"/>
      <c r="S66" s="25"/>
      <c r="T66" s="25"/>
    </row>
    <row r="67" spans="1:20" x14ac:dyDescent="0.3">
      <c r="A67" s="25"/>
      <c r="B67" s="231" t="s">
        <v>357</v>
      </c>
      <c r="C67" s="226" t="s">
        <v>111</v>
      </c>
      <c r="D67" s="7" t="s">
        <v>393</v>
      </c>
      <c r="E67" s="227" t="s">
        <v>357</v>
      </c>
      <c r="F67" s="238" t="s">
        <v>383</v>
      </c>
      <c r="G67" s="226">
        <v>3</v>
      </c>
      <c r="H67" s="7">
        <v>5</v>
      </c>
      <c r="I67" s="7" t="s">
        <v>388</v>
      </c>
      <c r="J67" s="7" t="s">
        <v>388</v>
      </c>
      <c r="K67" s="7" t="s">
        <v>388</v>
      </c>
      <c r="L67" s="7">
        <v>2</v>
      </c>
      <c r="M67" s="227" t="s">
        <v>388</v>
      </c>
      <c r="N67" s="235" t="s">
        <v>396</v>
      </c>
      <c r="O67" s="25"/>
      <c r="P67" s="25"/>
      <c r="Q67" s="25"/>
      <c r="R67" s="25"/>
      <c r="S67" s="25"/>
      <c r="T67" s="25"/>
    </row>
    <row r="68" spans="1:20" x14ac:dyDescent="0.3">
      <c r="A68" s="25"/>
      <c r="B68" s="231" t="s">
        <v>358</v>
      </c>
      <c r="C68" s="226" t="s">
        <v>111</v>
      </c>
      <c r="D68" s="7" t="s">
        <v>393</v>
      </c>
      <c r="E68" s="227" t="s">
        <v>358</v>
      </c>
      <c r="F68" s="238" t="s">
        <v>383</v>
      </c>
      <c r="G68" s="226">
        <v>10</v>
      </c>
      <c r="H68" s="7">
        <v>20</v>
      </c>
      <c r="I68" s="7" t="s">
        <v>388</v>
      </c>
      <c r="J68" s="7" t="s">
        <v>388</v>
      </c>
      <c r="K68" s="7" t="s">
        <v>388</v>
      </c>
      <c r="L68" s="7">
        <v>20</v>
      </c>
      <c r="M68" s="227" t="s">
        <v>388</v>
      </c>
      <c r="N68" s="235" t="s">
        <v>396</v>
      </c>
      <c r="O68" s="25"/>
      <c r="P68" s="25"/>
      <c r="Q68" s="25"/>
      <c r="R68" s="25"/>
      <c r="S68" s="25"/>
      <c r="T68" s="25"/>
    </row>
    <row r="69" spans="1:20" x14ac:dyDescent="0.3">
      <c r="A69" s="25"/>
      <c r="B69" s="231" t="s">
        <v>359</v>
      </c>
      <c r="C69" s="226" t="s">
        <v>111</v>
      </c>
      <c r="D69" s="7" t="s">
        <v>393</v>
      </c>
      <c r="E69" s="227" t="s">
        <v>359</v>
      </c>
      <c r="F69" s="238" t="s">
        <v>383</v>
      </c>
      <c r="G69" s="226">
        <v>5</v>
      </c>
      <c r="H69" s="7">
        <v>15</v>
      </c>
      <c r="I69" s="7" t="s">
        <v>388</v>
      </c>
      <c r="J69" s="7" t="s">
        <v>388</v>
      </c>
      <c r="K69" s="7" t="s">
        <v>388</v>
      </c>
      <c r="L69" s="7">
        <v>6</v>
      </c>
      <c r="M69" s="227" t="s">
        <v>388</v>
      </c>
      <c r="N69" s="235" t="s">
        <v>396</v>
      </c>
      <c r="O69" s="25"/>
      <c r="P69" s="25"/>
      <c r="Q69" s="25"/>
      <c r="R69" s="25"/>
      <c r="S69" s="25"/>
      <c r="T69" s="25"/>
    </row>
    <row r="70" spans="1:20" x14ac:dyDescent="0.3">
      <c r="A70" s="25"/>
      <c r="B70" s="231" t="s">
        <v>360</v>
      </c>
      <c r="C70" s="226" t="s">
        <v>111</v>
      </c>
      <c r="D70" s="7" t="s">
        <v>393</v>
      </c>
      <c r="E70" s="227" t="s">
        <v>360</v>
      </c>
      <c r="F70" s="238" t="s">
        <v>383</v>
      </c>
      <c r="G70" s="226">
        <v>1</v>
      </c>
      <c r="H70" s="7">
        <v>4</v>
      </c>
      <c r="I70" s="7" t="s">
        <v>388</v>
      </c>
      <c r="J70" s="7" t="s">
        <v>388</v>
      </c>
      <c r="K70" s="7" t="s">
        <v>388</v>
      </c>
      <c r="L70" s="7">
        <v>3</v>
      </c>
      <c r="M70" s="227" t="s">
        <v>388</v>
      </c>
      <c r="N70" s="235" t="s">
        <v>396</v>
      </c>
      <c r="O70" s="25"/>
      <c r="P70" s="25"/>
      <c r="Q70" s="25"/>
      <c r="R70" s="25"/>
      <c r="S70" s="25"/>
      <c r="T70" s="25"/>
    </row>
    <row r="71" spans="1:20" x14ac:dyDescent="0.3">
      <c r="A71" s="25"/>
      <c r="B71" s="231" t="s">
        <v>361</v>
      </c>
      <c r="C71" s="226" t="s">
        <v>111</v>
      </c>
      <c r="D71" s="7" t="s">
        <v>393</v>
      </c>
      <c r="E71" s="227" t="s">
        <v>408</v>
      </c>
      <c r="F71" s="238" t="s">
        <v>383</v>
      </c>
      <c r="G71" s="226">
        <v>5</v>
      </c>
      <c r="H71" s="7">
        <v>15</v>
      </c>
      <c r="I71" s="7" t="s">
        <v>388</v>
      </c>
      <c r="J71" s="7" t="s">
        <v>388</v>
      </c>
      <c r="K71" s="7" t="s">
        <v>388</v>
      </c>
      <c r="L71" s="7">
        <v>8</v>
      </c>
      <c r="M71" s="227" t="s">
        <v>388</v>
      </c>
      <c r="N71" s="235" t="s">
        <v>409</v>
      </c>
      <c r="O71" s="25"/>
      <c r="P71" s="25"/>
      <c r="Q71" s="25"/>
      <c r="R71" s="25"/>
      <c r="S71" s="25"/>
      <c r="T71" s="25"/>
    </row>
    <row r="72" spans="1:20" x14ac:dyDescent="0.3">
      <c r="A72" s="25"/>
      <c r="B72" s="231" t="s">
        <v>362</v>
      </c>
      <c r="C72" s="226" t="s">
        <v>111</v>
      </c>
      <c r="D72" s="7" t="s">
        <v>393</v>
      </c>
      <c r="E72" s="227" t="s">
        <v>410</v>
      </c>
      <c r="F72" s="238" t="s">
        <v>383</v>
      </c>
      <c r="G72" s="226">
        <v>4</v>
      </c>
      <c r="H72" s="7">
        <v>13</v>
      </c>
      <c r="I72" s="7" t="s">
        <v>388</v>
      </c>
      <c r="J72" s="7" t="s">
        <v>388</v>
      </c>
      <c r="K72" s="7" t="s">
        <v>388</v>
      </c>
      <c r="L72" s="7">
        <v>7</v>
      </c>
      <c r="M72" s="227" t="s">
        <v>388</v>
      </c>
      <c r="N72" s="235" t="s">
        <v>409</v>
      </c>
      <c r="O72" s="25"/>
      <c r="P72" s="25"/>
      <c r="Q72" s="25"/>
      <c r="R72" s="25"/>
      <c r="S72" s="25"/>
      <c r="T72" s="25"/>
    </row>
    <row r="73" spans="1:20" x14ac:dyDescent="0.3">
      <c r="A73" s="25"/>
      <c r="B73" s="231" t="s">
        <v>363</v>
      </c>
      <c r="C73" s="226" t="s">
        <v>111</v>
      </c>
      <c r="D73" s="7" t="s">
        <v>393</v>
      </c>
      <c r="E73" s="227" t="s">
        <v>363</v>
      </c>
      <c r="F73" s="238" t="s">
        <v>383</v>
      </c>
      <c r="G73" s="226">
        <v>4</v>
      </c>
      <c r="H73" s="7">
        <v>13</v>
      </c>
      <c r="I73" s="7" t="s">
        <v>388</v>
      </c>
      <c r="J73" s="7" t="s">
        <v>388</v>
      </c>
      <c r="K73" s="7" t="s">
        <v>388</v>
      </c>
      <c r="L73" s="7">
        <v>7</v>
      </c>
      <c r="M73" s="227">
        <v>13</v>
      </c>
      <c r="N73" s="235" t="s">
        <v>396</v>
      </c>
      <c r="O73" s="25"/>
      <c r="P73" s="25"/>
      <c r="Q73" s="25"/>
      <c r="R73" s="25"/>
      <c r="S73" s="25"/>
      <c r="T73" s="25"/>
    </row>
    <row r="74" spans="1:20" x14ac:dyDescent="0.3">
      <c r="A74" s="25"/>
      <c r="B74" s="231" t="s">
        <v>230</v>
      </c>
      <c r="C74" s="226" t="s">
        <v>111</v>
      </c>
      <c r="D74" s="7" t="s">
        <v>393</v>
      </c>
      <c r="E74" s="227" t="s">
        <v>230</v>
      </c>
      <c r="F74" s="238" t="s">
        <v>383</v>
      </c>
      <c r="G74" s="226">
        <v>5</v>
      </c>
      <c r="H74" s="7">
        <v>12</v>
      </c>
      <c r="I74" s="7" t="s">
        <v>388</v>
      </c>
      <c r="J74" s="7" t="s">
        <v>388</v>
      </c>
      <c r="K74" s="7" t="s">
        <v>388</v>
      </c>
      <c r="L74" s="7">
        <v>2</v>
      </c>
      <c r="M74" s="233">
        <v>5</v>
      </c>
      <c r="N74" s="235" t="s">
        <v>396</v>
      </c>
      <c r="O74" s="25"/>
      <c r="P74" s="25"/>
      <c r="Q74" s="25"/>
      <c r="R74" s="25"/>
      <c r="S74" s="25"/>
      <c r="T74" s="25"/>
    </row>
    <row r="75" spans="1:20" x14ac:dyDescent="0.3">
      <c r="A75" s="25"/>
      <c r="B75" s="231" t="s">
        <v>231</v>
      </c>
      <c r="C75" s="226" t="s">
        <v>111</v>
      </c>
      <c r="D75" s="7" t="s">
        <v>393</v>
      </c>
      <c r="E75" s="227" t="s">
        <v>231</v>
      </c>
      <c r="F75" s="238" t="s">
        <v>383</v>
      </c>
      <c r="G75" s="226">
        <v>5</v>
      </c>
      <c r="H75" s="7">
        <v>12</v>
      </c>
      <c r="I75" s="7" t="s">
        <v>388</v>
      </c>
      <c r="J75" s="7" t="s">
        <v>388</v>
      </c>
      <c r="K75" s="7" t="s">
        <v>388</v>
      </c>
      <c r="L75" s="7">
        <v>2</v>
      </c>
      <c r="M75" s="233">
        <v>6</v>
      </c>
      <c r="N75" s="235" t="s">
        <v>396</v>
      </c>
      <c r="O75" s="25"/>
      <c r="P75" s="25"/>
      <c r="Q75" s="25"/>
      <c r="R75" s="25"/>
      <c r="S75" s="25"/>
      <c r="T75" s="25"/>
    </row>
    <row r="76" spans="1:20" x14ac:dyDescent="0.3">
      <c r="A76" s="25"/>
      <c r="B76" s="231" t="s">
        <v>232</v>
      </c>
      <c r="C76" s="226" t="s">
        <v>111</v>
      </c>
      <c r="D76" s="7" t="s">
        <v>393</v>
      </c>
      <c r="E76" s="227" t="s">
        <v>232</v>
      </c>
      <c r="F76" s="238" t="s">
        <v>383</v>
      </c>
      <c r="G76" s="226">
        <v>10</v>
      </c>
      <c r="H76" s="7">
        <v>20</v>
      </c>
      <c r="I76" s="7" t="s">
        <v>388</v>
      </c>
      <c r="J76" s="7" t="s">
        <v>388</v>
      </c>
      <c r="K76" s="7" t="s">
        <v>388</v>
      </c>
      <c r="L76" s="7">
        <v>4</v>
      </c>
      <c r="M76" s="233">
        <v>12</v>
      </c>
      <c r="N76" s="235" t="s">
        <v>396</v>
      </c>
      <c r="O76" s="25"/>
      <c r="P76" s="25"/>
      <c r="Q76" s="25"/>
      <c r="R76" s="25"/>
      <c r="S76" s="25"/>
      <c r="T76" s="25"/>
    </row>
    <row r="77" spans="1:20" x14ac:dyDescent="0.3">
      <c r="A77" s="25"/>
      <c r="B77" s="231" t="s">
        <v>236</v>
      </c>
      <c r="C77" s="226" t="s">
        <v>111</v>
      </c>
      <c r="D77" s="7" t="s">
        <v>393</v>
      </c>
      <c r="E77" s="227" t="s">
        <v>411</v>
      </c>
      <c r="F77" s="238" t="s">
        <v>383</v>
      </c>
      <c r="G77" s="226">
        <v>5</v>
      </c>
      <c r="H77" s="7">
        <v>12</v>
      </c>
      <c r="I77" s="7" t="s">
        <v>388</v>
      </c>
      <c r="J77" s="7" t="s">
        <v>388</v>
      </c>
      <c r="K77" s="7" t="s">
        <v>388</v>
      </c>
      <c r="L77" s="7">
        <v>2</v>
      </c>
      <c r="M77" s="233" t="s">
        <v>388</v>
      </c>
      <c r="N77" s="235" t="s">
        <v>412</v>
      </c>
      <c r="O77" s="25"/>
      <c r="P77" s="25"/>
      <c r="Q77" s="25"/>
      <c r="R77" s="25"/>
      <c r="S77" s="25"/>
      <c r="T77" s="25"/>
    </row>
    <row r="78" spans="1:20" x14ac:dyDescent="0.3">
      <c r="A78" s="25"/>
      <c r="B78" s="231" t="s">
        <v>240</v>
      </c>
      <c r="C78" s="336" t="s">
        <v>384</v>
      </c>
      <c r="D78" s="9" t="s">
        <v>384</v>
      </c>
      <c r="E78" s="233" t="s">
        <v>387</v>
      </c>
      <c r="F78" s="238" t="s">
        <v>388</v>
      </c>
      <c r="G78" s="226" t="s">
        <v>388</v>
      </c>
      <c r="H78" s="7" t="s">
        <v>388</v>
      </c>
      <c r="I78" s="7">
        <v>1</v>
      </c>
      <c r="J78" s="7" t="s">
        <v>388</v>
      </c>
      <c r="K78" s="7" t="s">
        <v>388</v>
      </c>
      <c r="L78" s="7" t="s">
        <v>388</v>
      </c>
      <c r="M78" s="233" t="s">
        <v>388</v>
      </c>
      <c r="N78" s="235" t="s">
        <v>387</v>
      </c>
      <c r="O78" s="25"/>
      <c r="P78" s="25"/>
      <c r="Q78" s="25"/>
      <c r="R78" s="25"/>
      <c r="S78" s="25"/>
      <c r="T78" s="25"/>
    </row>
    <row r="79" spans="1:20" ht="28.8" x14ac:dyDescent="0.3">
      <c r="A79" s="25"/>
      <c r="B79" s="231" t="s">
        <v>237</v>
      </c>
      <c r="C79" s="226" t="s">
        <v>111</v>
      </c>
      <c r="D79" s="7" t="s">
        <v>393</v>
      </c>
      <c r="E79" s="233" t="s">
        <v>413</v>
      </c>
      <c r="F79" s="238" t="s">
        <v>383</v>
      </c>
      <c r="G79" s="226">
        <v>20</v>
      </c>
      <c r="H79" s="7" t="s">
        <v>405</v>
      </c>
      <c r="I79" s="7" t="s">
        <v>388</v>
      </c>
      <c r="J79" s="7" t="s">
        <v>388</v>
      </c>
      <c r="K79" s="7" t="s">
        <v>414</v>
      </c>
      <c r="L79" s="7">
        <v>10</v>
      </c>
      <c r="M79" s="233" t="s">
        <v>414</v>
      </c>
      <c r="N79" s="235" t="s">
        <v>415</v>
      </c>
      <c r="O79" s="25"/>
      <c r="P79" s="25"/>
      <c r="Q79" s="25"/>
      <c r="R79" s="25"/>
      <c r="S79" s="25"/>
      <c r="T79" s="25"/>
    </row>
    <row r="80" spans="1:20" x14ac:dyDescent="0.3">
      <c r="A80" s="25"/>
      <c r="B80" s="231" t="s">
        <v>233</v>
      </c>
      <c r="C80" s="226" t="s">
        <v>111</v>
      </c>
      <c r="D80" s="7" t="s">
        <v>393</v>
      </c>
      <c r="E80" s="227" t="s">
        <v>416</v>
      </c>
      <c r="F80" s="238" t="s">
        <v>383</v>
      </c>
      <c r="G80" s="226">
        <v>20</v>
      </c>
      <c r="H80" s="7" t="s">
        <v>405</v>
      </c>
      <c r="I80" s="7" t="s">
        <v>388</v>
      </c>
      <c r="J80" s="7" t="s">
        <v>388</v>
      </c>
      <c r="K80" s="7" t="s">
        <v>388</v>
      </c>
      <c r="L80" s="7">
        <v>10</v>
      </c>
      <c r="M80" s="233" t="s">
        <v>388</v>
      </c>
      <c r="N80" s="235" t="s">
        <v>417</v>
      </c>
      <c r="O80" s="25"/>
      <c r="P80" s="25"/>
      <c r="Q80" s="25"/>
      <c r="R80" s="25"/>
      <c r="S80" s="25"/>
      <c r="T80" s="25"/>
    </row>
    <row r="81" spans="1:20" ht="28.8" x14ac:dyDescent="0.3">
      <c r="A81" s="25"/>
      <c r="B81" s="231" t="s">
        <v>238</v>
      </c>
      <c r="C81" s="226" t="s">
        <v>111</v>
      </c>
      <c r="D81" s="7" t="s">
        <v>393</v>
      </c>
      <c r="E81" s="233" t="s">
        <v>418</v>
      </c>
      <c r="F81" s="238" t="s">
        <v>383</v>
      </c>
      <c r="G81" s="226">
        <v>20</v>
      </c>
      <c r="H81" s="7" t="s">
        <v>405</v>
      </c>
      <c r="I81" s="7" t="s">
        <v>388</v>
      </c>
      <c r="J81" s="7" t="s">
        <v>388</v>
      </c>
      <c r="K81" s="7" t="s">
        <v>388</v>
      </c>
      <c r="L81" s="7">
        <v>10</v>
      </c>
      <c r="M81" s="233">
        <v>10</v>
      </c>
      <c r="N81" s="235" t="s">
        <v>415</v>
      </c>
      <c r="O81" s="25"/>
      <c r="P81" s="25"/>
      <c r="Q81" s="25"/>
      <c r="R81" s="25"/>
      <c r="S81" s="25"/>
      <c r="T81" s="25"/>
    </row>
    <row r="82" spans="1:20" x14ac:dyDescent="0.3">
      <c r="A82" s="25"/>
      <c r="B82" s="231" t="s">
        <v>234</v>
      </c>
      <c r="C82" s="226" t="s">
        <v>111</v>
      </c>
      <c r="D82" s="7" t="s">
        <v>393</v>
      </c>
      <c r="E82" s="227" t="s">
        <v>419</v>
      </c>
      <c r="F82" s="238" t="s">
        <v>383</v>
      </c>
      <c r="G82" s="226">
        <v>20</v>
      </c>
      <c r="H82" s="7" t="s">
        <v>405</v>
      </c>
      <c r="I82" s="7" t="s">
        <v>388</v>
      </c>
      <c r="J82" s="7" t="s">
        <v>388</v>
      </c>
      <c r="K82" s="7" t="s">
        <v>388</v>
      </c>
      <c r="L82" s="7">
        <v>10</v>
      </c>
      <c r="M82" s="233">
        <v>10</v>
      </c>
      <c r="N82" s="235" t="s">
        <v>396</v>
      </c>
      <c r="O82" s="25"/>
      <c r="P82" s="25"/>
      <c r="Q82" s="25"/>
      <c r="R82" s="25"/>
      <c r="S82" s="25"/>
      <c r="T82" s="25"/>
    </row>
    <row r="83" spans="1:20" x14ac:dyDescent="0.3">
      <c r="A83" s="25"/>
      <c r="B83" s="231" t="s">
        <v>257</v>
      </c>
      <c r="C83" s="226" t="s">
        <v>111</v>
      </c>
      <c r="D83" s="7" t="s">
        <v>393</v>
      </c>
      <c r="E83" s="227" t="s">
        <v>257</v>
      </c>
      <c r="F83" s="238" t="s">
        <v>383</v>
      </c>
      <c r="G83" s="226">
        <v>5</v>
      </c>
      <c r="H83" s="7">
        <v>10</v>
      </c>
      <c r="I83" s="7" t="s">
        <v>388</v>
      </c>
      <c r="J83" s="7" t="s">
        <v>388</v>
      </c>
      <c r="K83" s="7" t="s">
        <v>388</v>
      </c>
      <c r="L83" s="7">
        <v>4</v>
      </c>
      <c r="M83" s="233">
        <v>10</v>
      </c>
      <c r="N83" s="235" t="s">
        <v>396</v>
      </c>
      <c r="O83" s="25"/>
      <c r="P83" s="25"/>
      <c r="Q83" s="25"/>
      <c r="R83" s="25"/>
      <c r="S83" s="25"/>
      <c r="T83" s="25"/>
    </row>
    <row r="84" spans="1:20" x14ac:dyDescent="0.3">
      <c r="A84" s="25"/>
      <c r="B84" s="231" t="s">
        <v>256</v>
      </c>
      <c r="C84" s="226" t="s">
        <v>111</v>
      </c>
      <c r="D84" s="7" t="s">
        <v>393</v>
      </c>
      <c r="E84" s="227" t="s">
        <v>256</v>
      </c>
      <c r="F84" s="238" t="s">
        <v>383</v>
      </c>
      <c r="G84" s="226">
        <v>5</v>
      </c>
      <c r="H84" s="7">
        <v>10</v>
      </c>
      <c r="I84" s="7" t="s">
        <v>388</v>
      </c>
      <c r="J84" s="7" t="s">
        <v>388</v>
      </c>
      <c r="K84" s="7" t="s">
        <v>388</v>
      </c>
      <c r="L84" s="7">
        <v>4</v>
      </c>
      <c r="M84" s="233">
        <v>10</v>
      </c>
      <c r="N84" s="235" t="s">
        <v>396</v>
      </c>
      <c r="O84" s="25"/>
      <c r="P84" s="25"/>
      <c r="Q84" s="25"/>
      <c r="R84" s="25"/>
      <c r="S84" s="25"/>
      <c r="T84" s="25"/>
    </row>
    <row r="85" spans="1:20" x14ac:dyDescent="0.3">
      <c r="A85" s="25"/>
      <c r="B85" s="231" t="s">
        <v>258</v>
      </c>
      <c r="C85" s="336" t="s">
        <v>384</v>
      </c>
      <c r="D85" s="9" t="s">
        <v>384</v>
      </c>
      <c r="E85" s="233" t="s">
        <v>420</v>
      </c>
      <c r="F85" s="238" t="s">
        <v>388</v>
      </c>
      <c r="G85" s="226" t="s">
        <v>388</v>
      </c>
      <c r="H85" s="7" t="s">
        <v>388</v>
      </c>
      <c r="I85" s="7">
        <v>1</v>
      </c>
      <c r="J85" s="7" t="s">
        <v>388</v>
      </c>
      <c r="K85" s="7" t="s">
        <v>388</v>
      </c>
      <c r="L85" s="7" t="s">
        <v>388</v>
      </c>
      <c r="M85" s="233" t="s">
        <v>388</v>
      </c>
      <c r="N85" s="235" t="s">
        <v>421</v>
      </c>
      <c r="O85" s="25"/>
      <c r="P85" s="25"/>
      <c r="Q85" s="25"/>
      <c r="R85" s="25"/>
      <c r="S85" s="25"/>
      <c r="T85" s="25"/>
    </row>
    <row r="86" spans="1:20" x14ac:dyDescent="0.3">
      <c r="A86" s="25"/>
      <c r="B86" s="231"/>
      <c r="C86" s="226"/>
      <c r="D86" s="7"/>
      <c r="E86" s="227"/>
      <c r="F86" s="238"/>
      <c r="G86" s="226"/>
      <c r="H86" s="7"/>
      <c r="I86" s="7"/>
      <c r="J86" s="7"/>
      <c r="K86" s="7"/>
      <c r="L86" s="7"/>
      <c r="M86" s="227"/>
      <c r="N86" s="231"/>
      <c r="O86" s="25"/>
      <c r="P86" s="25"/>
      <c r="Q86" s="25"/>
      <c r="R86" s="25"/>
      <c r="S86" s="25"/>
      <c r="T86" s="25"/>
    </row>
    <row r="87" spans="1:20" x14ac:dyDescent="0.3">
      <c r="A87" s="25"/>
      <c r="B87" s="231"/>
      <c r="C87" s="226"/>
      <c r="D87" s="7"/>
      <c r="E87" s="227"/>
      <c r="F87" s="238"/>
      <c r="G87" s="226"/>
      <c r="H87" s="7"/>
      <c r="I87" s="7"/>
      <c r="J87" s="7"/>
      <c r="K87" s="7"/>
      <c r="L87" s="7"/>
      <c r="M87" s="227"/>
      <c r="N87" s="231"/>
      <c r="O87" s="25"/>
      <c r="P87" s="25"/>
      <c r="Q87" s="25"/>
      <c r="R87" s="25"/>
      <c r="S87" s="25"/>
      <c r="T87" s="25"/>
    </row>
    <row r="88" spans="1:20" x14ac:dyDescent="0.3">
      <c r="A88" s="25"/>
      <c r="B88" s="231"/>
      <c r="C88" s="226"/>
      <c r="D88" s="7"/>
      <c r="E88" s="227"/>
      <c r="F88" s="238"/>
      <c r="G88" s="226"/>
      <c r="H88" s="7"/>
      <c r="I88" s="7"/>
      <c r="J88" s="7"/>
      <c r="K88" s="7"/>
      <c r="L88" s="7"/>
      <c r="M88" s="227"/>
      <c r="N88" s="231"/>
      <c r="O88" s="25"/>
      <c r="P88" s="25"/>
      <c r="Q88" s="25"/>
      <c r="R88" s="25"/>
      <c r="S88" s="25"/>
      <c r="T88" s="25"/>
    </row>
    <row r="89" spans="1:20" x14ac:dyDescent="0.3">
      <c r="A89" s="25"/>
      <c r="B89" s="231"/>
      <c r="C89" s="226"/>
      <c r="D89" s="7"/>
      <c r="E89" s="227"/>
      <c r="F89" s="238"/>
      <c r="G89" s="226"/>
      <c r="H89" s="7"/>
      <c r="I89" s="7"/>
      <c r="J89" s="7"/>
      <c r="K89" s="7"/>
      <c r="L89" s="7"/>
      <c r="M89" s="227"/>
      <c r="N89" s="231"/>
      <c r="O89" s="25"/>
      <c r="P89" s="25"/>
      <c r="Q89" s="25"/>
      <c r="R89" s="25"/>
      <c r="S89" s="25"/>
      <c r="T89" s="25"/>
    </row>
    <row r="90" spans="1:20" x14ac:dyDescent="0.3">
      <c r="A90" s="25"/>
      <c r="B90" s="231"/>
      <c r="C90" s="226"/>
      <c r="D90" s="7"/>
      <c r="E90" s="227"/>
      <c r="F90" s="238"/>
      <c r="G90" s="226"/>
      <c r="H90" s="7"/>
      <c r="I90" s="7"/>
      <c r="J90" s="7"/>
      <c r="K90" s="7"/>
      <c r="L90" s="7"/>
      <c r="M90" s="227"/>
      <c r="N90" s="231"/>
      <c r="O90" s="25"/>
      <c r="P90" s="25"/>
      <c r="Q90" s="25"/>
      <c r="R90" s="25"/>
      <c r="S90" s="25"/>
      <c r="T90" s="25"/>
    </row>
    <row r="91" spans="1:20" x14ac:dyDescent="0.3">
      <c r="A91" s="25"/>
      <c r="B91" s="231"/>
      <c r="C91" s="226"/>
      <c r="D91" s="7"/>
      <c r="E91" s="227"/>
      <c r="F91" s="238"/>
      <c r="G91" s="226"/>
      <c r="H91" s="7"/>
      <c r="I91" s="7"/>
      <c r="J91" s="7"/>
      <c r="K91" s="7"/>
      <c r="L91" s="7"/>
      <c r="M91" s="227"/>
      <c r="N91" s="231"/>
      <c r="O91" s="25"/>
      <c r="P91" s="25"/>
      <c r="Q91" s="25"/>
      <c r="R91" s="25"/>
      <c r="S91" s="25"/>
      <c r="T91" s="25"/>
    </row>
    <row r="92" spans="1:20" x14ac:dyDescent="0.3">
      <c r="A92" s="25"/>
      <c r="B92" s="231"/>
      <c r="C92" s="226"/>
      <c r="D92" s="7"/>
      <c r="E92" s="227"/>
      <c r="F92" s="238"/>
      <c r="G92" s="226"/>
      <c r="H92" s="7"/>
      <c r="I92" s="7"/>
      <c r="J92" s="7"/>
      <c r="K92" s="7"/>
      <c r="L92" s="7"/>
      <c r="M92" s="227"/>
      <c r="N92" s="231"/>
      <c r="O92" s="25"/>
      <c r="P92" s="25"/>
      <c r="Q92" s="25"/>
      <c r="R92" s="25"/>
      <c r="S92" s="25"/>
      <c r="T92" s="25"/>
    </row>
    <row r="93" spans="1:20" x14ac:dyDescent="0.3">
      <c r="A93" s="25"/>
      <c r="B93" s="231"/>
      <c r="C93" s="226"/>
      <c r="D93" s="7"/>
      <c r="E93" s="227"/>
      <c r="F93" s="238"/>
      <c r="G93" s="226"/>
      <c r="H93" s="7"/>
      <c r="I93" s="7"/>
      <c r="J93" s="7"/>
      <c r="K93" s="7"/>
      <c r="L93" s="7"/>
      <c r="M93" s="227"/>
      <c r="N93" s="231"/>
      <c r="O93" s="25"/>
      <c r="P93" s="25"/>
      <c r="Q93" s="25"/>
      <c r="R93" s="25"/>
      <c r="S93" s="25"/>
      <c r="T93" s="25"/>
    </row>
    <row r="94" spans="1:20" x14ac:dyDescent="0.3">
      <c r="A94" s="25"/>
      <c r="B94" s="231"/>
      <c r="C94" s="226"/>
      <c r="D94" s="7"/>
      <c r="E94" s="227"/>
      <c r="F94" s="238"/>
      <c r="G94" s="226"/>
      <c r="H94" s="7"/>
      <c r="I94" s="7"/>
      <c r="J94" s="7"/>
      <c r="K94" s="7"/>
      <c r="L94" s="7"/>
      <c r="M94" s="227"/>
      <c r="N94" s="231"/>
      <c r="O94" s="25"/>
      <c r="P94" s="25"/>
      <c r="Q94" s="25"/>
      <c r="R94" s="25"/>
      <c r="S94" s="25"/>
      <c r="T94" s="25"/>
    </row>
    <row r="95" spans="1:20" x14ac:dyDescent="0.3">
      <c r="A95" s="25"/>
      <c r="B95" s="231"/>
      <c r="C95" s="226"/>
      <c r="D95" s="7"/>
      <c r="E95" s="227"/>
      <c r="F95" s="238"/>
      <c r="G95" s="226"/>
      <c r="H95" s="7"/>
      <c r="I95" s="7"/>
      <c r="J95" s="7"/>
      <c r="K95" s="7"/>
      <c r="L95" s="7"/>
      <c r="M95" s="227"/>
      <c r="N95" s="231"/>
      <c r="O95" s="25"/>
      <c r="P95" s="25"/>
      <c r="Q95" s="25"/>
      <c r="R95" s="25"/>
      <c r="S95" s="25"/>
      <c r="T95" s="25"/>
    </row>
    <row r="96" spans="1:20" x14ac:dyDescent="0.3">
      <c r="A96" s="25"/>
      <c r="B96" s="231"/>
      <c r="C96" s="226"/>
      <c r="D96" s="7"/>
      <c r="E96" s="227"/>
      <c r="F96" s="238"/>
      <c r="G96" s="226"/>
      <c r="H96" s="7"/>
      <c r="I96" s="7"/>
      <c r="J96" s="7"/>
      <c r="K96" s="7"/>
      <c r="L96" s="7"/>
      <c r="M96" s="227"/>
      <c r="N96" s="231"/>
      <c r="O96" s="25"/>
      <c r="P96" s="25"/>
      <c r="Q96" s="25"/>
      <c r="R96" s="25"/>
      <c r="S96" s="25"/>
      <c r="T96" s="25"/>
    </row>
    <row r="97" spans="1:20" x14ac:dyDescent="0.3">
      <c r="A97" s="25"/>
      <c r="B97" s="231"/>
      <c r="C97" s="226"/>
      <c r="D97" s="7"/>
      <c r="E97" s="227"/>
      <c r="F97" s="238"/>
      <c r="G97" s="226"/>
      <c r="H97" s="7"/>
      <c r="I97" s="7"/>
      <c r="J97" s="7"/>
      <c r="K97" s="7"/>
      <c r="L97" s="7"/>
      <c r="M97" s="227"/>
      <c r="N97" s="231"/>
      <c r="O97" s="25"/>
      <c r="P97" s="25"/>
      <c r="Q97" s="25"/>
      <c r="R97" s="25"/>
      <c r="S97" s="25"/>
      <c r="T97" s="25"/>
    </row>
    <row r="98" spans="1:20" x14ac:dyDescent="0.3">
      <c r="A98" s="25"/>
      <c r="B98" s="231"/>
      <c r="C98" s="226"/>
      <c r="D98" s="7"/>
      <c r="E98" s="227"/>
      <c r="F98" s="238"/>
      <c r="G98" s="226"/>
      <c r="H98" s="7"/>
      <c r="I98" s="7"/>
      <c r="J98" s="7"/>
      <c r="K98" s="7"/>
      <c r="L98" s="7"/>
      <c r="M98" s="227"/>
      <c r="N98" s="231"/>
      <c r="O98" s="25"/>
      <c r="P98" s="25"/>
      <c r="Q98" s="25"/>
      <c r="R98" s="25"/>
      <c r="S98" s="25"/>
      <c r="T98" s="25"/>
    </row>
    <row r="99" spans="1:20" x14ac:dyDescent="0.3">
      <c r="A99" s="25"/>
      <c r="B99" s="231"/>
      <c r="C99" s="226"/>
      <c r="D99" s="7"/>
      <c r="E99" s="227"/>
      <c r="F99" s="238"/>
      <c r="G99" s="226"/>
      <c r="H99" s="7"/>
      <c r="I99" s="7"/>
      <c r="J99" s="7"/>
      <c r="K99" s="7"/>
      <c r="L99" s="7"/>
      <c r="M99" s="227"/>
      <c r="N99" s="231"/>
      <c r="O99" s="25"/>
      <c r="P99" s="25"/>
      <c r="Q99" s="25"/>
      <c r="R99" s="25"/>
      <c r="S99" s="25"/>
      <c r="T99" s="25"/>
    </row>
    <row r="100" spans="1:20" x14ac:dyDescent="0.3">
      <c r="A100" s="25"/>
      <c r="B100" s="231"/>
      <c r="C100" s="226"/>
      <c r="D100" s="7"/>
      <c r="E100" s="227"/>
      <c r="F100" s="238"/>
      <c r="G100" s="226"/>
      <c r="H100" s="7"/>
      <c r="I100" s="7"/>
      <c r="J100" s="7"/>
      <c r="K100" s="7"/>
      <c r="L100" s="7"/>
      <c r="M100" s="227"/>
      <c r="N100" s="231"/>
      <c r="O100" s="25"/>
      <c r="P100" s="25"/>
      <c r="Q100" s="25"/>
      <c r="R100" s="25"/>
      <c r="S100" s="25"/>
      <c r="T100" s="25"/>
    </row>
    <row r="101" spans="1:20" x14ac:dyDescent="0.3">
      <c r="A101" s="25"/>
      <c r="B101" s="231"/>
      <c r="C101" s="226"/>
      <c r="D101" s="7"/>
      <c r="E101" s="227"/>
      <c r="F101" s="238"/>
      <c r="G101" s="226"/>
      <c r="H101" s="7"/>
      <c r="I101" s="7"/>
      <c r="J101" s="7"/>
      <c r="K101" s="7"/>
      <c r="L101" s="7"/>
      <c r="M101" s="227"/>
      <c r="N101" s="231"/>
      <c r="O101" s="25"/>
      <c r="P101" s="25"/>
      <c r="Q101" s="25"/>
      <c r="R101" s="25"/>
      <c r="S101" s="25"/>
      <c r="T101" s="25"/>
    </row>
    <row r="102" spans="1:20" x14ac:dyDescent="0.3">
      <c r="A102" s="25"/>
      <c r="B102" s="231"/>
      <c r="C102" s="226"/>
      <c r="D102" s="7"/>
      <c r="E102" s="227"/>
      <c r="F102" s="238"/>
      <c r="G102" s="226"/>
      <c r="H102" s="7"/>
      <c r="I102" s="7"/>
      <c r="J102" s="7"/>
      <c r="K102" s="7"/>
      <c r="L102" s="7"/>
      <c r="M102" s="227"/>
      <c r="N102" s="231"/>
      <c r="O102" s="25"/>
      <c r="P102" s="25"/>
      <c r="Q102" s="25"/>
      <c r="R102" s="25"/>
      <c r="S102" s="25"/>
      <c r="T102" s="25"/>
    </row>
    <row r="103" spans="1:20" x14ac:dyDescent="0.3">
      <c r="A103" s="25"/>
      <c r="B103" s="231"/>
      <c r="C103" s="226"/>
      <c r="D103" s="7"/>
      <c r="E103" s="227"/>
      <c r="F103" s="238"/>
      <c r="G103" s="226"/>
      <c r="H103" s="7"/>
      <c r="I103" s="7"/>
      <c r="J103" s="7"/>
      <c r="K103" s="7"/>
      <c r="L103" s="7"/>
      <c r="M103" s="227"/>
      <c r="N103" s="231"/>
      <c r="O103" s="25"/>
      <c r="P103" s="25"/>
      <c r="Q103" s="25"/>
      <c r="R103" s="25"/>
      <c r="S103" s="25"/>
      <c r="T103" s="25"/>
    </row>
    <row r="104" spans="1:20" x14ac:dyDescent="0.3">
      <c r="A104" s="25"/>
      <c r="B104" s="231"/>
      <c r="C104" s="226"/>
      <c r="D104" s="7"/>
      <c r="E104" s="227"/>
      <c r="F104" s="238"/>
      <c r="G104" s="226"/>
      <c r="H104" s="7"/>
      <c r="I104" s="7"/>
      <c r="J104" s="7"/>
      <c r="K104" s="7"/>
      <c r="L104" s="7"/>
      <c r="M104" s="227"/>
      <c r="N104" s="231"/>
      <c r="O104" s="25"/>
      <c r="P104" s="25"/>
      <c r="Q104" s="25"/>
      <c r="R104" s="25"/>
      <c r="S104" s="25"/>
      <c r="T104" s="25"/>
    </row>
    <row r="105" spans="1:20" x14ac:dyDescent="0.3">
      <c r="A105" s="25"/>
      <c r="B105" s="231"/>
      <c r="C105" s="226"/>
      <c r="D105" s="7"/>
      <c r="E105" s="227"/>
      <c r="F105" s="238"/>
      <c r="G105" s="226"/>
      <c r="H105" s="7"/>
      <c r="I105" s="7"/>
      <c r="J105" s="7"/>
      <c r="K105" s="7"/>
      <c r="L105" s="7"/>
      <c r="M105" s="227"/>
      <c r="N105" s="231"/>
      <c r="O105" s="25"/>
      <c r="P105" s="25"/>
      <c r="Q105" s="25"/>
      <c r="R105" s="25"/>
      <c r="S105" s="25"/>
      <c r="T105" s="25"/>
    </row>
    <row r="106" spans="1:20" ht="15" thickBot="1" x14ac:dyDescent="0.35">
      <c r="A106" s="25"/>
      <c r="B106" s="232"/>
      <c r="C106" s="228"/>
      <c r="D106" s="229"/>
      <c r="E106" s="230"/>
      <c r="F106" s="339"/>
      <c r="G106" s="228"/>
      <c r="H106" s="229"/>
      <c r="I106" s="229"/>
      <c r="J106" s="229"/>
      <c r="K106" s="229"/>
      <c r="L106" s="229"/>
      <c r="M106" s="230"/>
      <c r="N106" s="232"/>
      <c r="O106" s="25"/>
      <c r="P106" s="25"/>
      <c r="Q106" s="25"/>
      <c r="R106" s="25"/>
      <c r="S106" s="25"/>
      <c r="T106" s="25"/>
    </row>
    <row r="107" spans="1:20" x14ac:dyDescent="0.3">
      <c r="A107" s="25"/>
      <c r="B107" s="25"/>
      <c r="C107" s="25"/>
      <c r="D107" s="25"/>
      <c r="E107" s="25"/>
      <c r="F107" s="25"/>
      <c r="G107" s="25"/>
      <c r="H107" s="25"/>
      <c r="I107" s="25"/>
      <c r="J107" s="25"/>
      <c r="K107" s="25"/>
      <c r="L107" s="25"/>
      <c r="M107" s="25"/>
      <c r="N107" s="25"/>
      <c r="O107" s="25"/>
      <c r="P107" s="25"/>
      <c r="Q107" s="25"/>
      <c r="R107" s="25"/>
      <c r="S107" s="25"/>
      <c r="T107" s="25"/>
    </row>
    <row r="108" spans="1:20" x14ac:dyDescent="0.3">
      <c r="A108" s="25"/>
      <c r="B108" s="25"/>
      <c r="C108" s="25"/>
      <c r="D108" s="25"/>
      <c r="E108" s="25"/>
      <c r="F108" s="25"/>
      <c r="G108" s="25"/>
      <c r="H108" s="25"/>
      <c r="I108" s="25"/>
      <c r="J108" s="25"/>
      <c r="K108" s="25"/>
      <c r="L108" s="25"/>
      <c r="M108" s="25"/>
      <c r="N108" s="25"/>
      <c r="O108" s="25"/>
      <c r="P108" s="25"/>
      <c r="Q108" s="25"/>
      <c r="R108" s="25"/>
      <c r="S108" s="25"/>
      <c r="T108" s="25"/>
    </row>
    <row r="109" spans="1:20" x14ac:dyDescent="0.3">
      <c r="A109" s="25"/>
      <c r="B109" s="25"/>
      <c r="C109" s="25"/>
      <c r="D109" s="25"/>
      <c r="E109" s="25"/>
      <c r="F109" s="25"/>
      <c r="G109" s="25"/>
      <c r="H109" s="25"/>
      <c r="I109" s="25"/>
      <c r="J109" s="25"/>
      <c r="K109" s="25"/>
      <c r="L109" s="25"/>
      <c r="M109" s="25"/>
      <c r="N109" s="25"/>
      <c r="O109" s="25"/>
      <c r="P109" s="25"/>
      <c r="Q109" s="25"/>
      <c r="R109" s="25"/>
      <c r="S109" s="25"/>
      <c r="T109" s="25"/>
    </row>
    <row r="110" spans="1:20" x14ac:dyDescent="0.3">
      <c r="A110" s="25"/>
      <c r="B110" s="25"/>
      <c r="C110" s="25"/>
      <c r="D110" s="25"/>
      <c r="E110" s="25"/>
      <c r="F110" s="25"/>
      <c r="G110" s="25"/>
      <c r="H110" s="25"/>
      <c r="I110" s="25"/>
      <c r="J110" s="25"/>
      <c r="K110" s="25"/>
      <c r="L110" s="25"/>
      <c r="M110" s="25"/>
      <c r="N110" s="25"/>
      <c r="O110" s="25"/>
      <c r="P110" s="25"/>
      <c r="Q110" s="25"/>
      <c r="R110" s="25"/>
      <c r="S110" s="25"/>
      <c r="T110" s="25"/>
    </row>
    <row r="111" spans="1:20" x14ac:dyDescent="0.3">
      <c r="A111" s="25"/>
      <c r="B111" s="25"/>
      <c r="C111" s="25"/>
      <c r="D111" s="25"/>
      <c r="E111" s="25"/>
      <c r="F111" s="25"/>
      <c r="G111" s="25"/>
      <c r="H111" s="25"/>
      <c r="I111" s="25"/>
      <c r="J111" s="25"/>
      <c r="K111" s="25"/>
      <c r="L111" s="25"/>
      <c r="M111" s="25"/>
      <c r="N111" s="25"/>
      <c r="O111" s="25"/>
      <c r="P111" s="25"/>
      <c r="Q111" s="25"/>
      <c r="R111" s="25"/>
      <c r="S111" s="25"/>
      <c r="T111" s="25"/>
    </row>
    <row r="112" spans="1:20" x14ac:dyDescent="0.3">
      <c r="A112" s="25"/>
      <c r="B112" s="25"/>
      <c r="C112" s="25"/>
      <c r="D112" s="25"/>
      <c r="E112" s="25"/>
      <c r="F112" s="25"/>
      <c r="G112" s="25"/>
      <c r="H112" s="25"/>
      <c r="I112" s="25"/>
      <c r="J112" s="25"/>
      <c r="K112" s="25"/>
      <c r="L112" s="25"/>
      <c r="M112" s="25"/>
      <c r="N112" s="25"/>
      <c r="O112" s="25"/>
      <c r="P112" s="25"/>
      <c r="Q112" s="25"/>
      <c r="R112" s="25"/>
      <c r="S112" s="25"/>
      <c r="T112" s="25"/>
    </row>
    <row r="113" spans="1:20" x14ac:dyDescent="0.3">
      <c r="A113" s="25"/>
      <c r="B113" s="25"/>
      <c r="C113" s="25"/>
      <c r="D113" s="25"/>
      <c r="E113" s="25"/>
      <c r="F113" s="25"/>
      <c r="G113" s="25"/>
      <c r="H113" s="25"/>
      <c r="I113" s="25"/>
      <c r="J113" s="25"/>
      <c r="K113" s="25"/>
      <c r="L113" s="25"/>
      <c r="M113" s="25"/>
      <c r="N113" s="25"/>
      <c r="O113" s="25"/>
      <c r="P113" s="25"/>
      <c r="Q113" s="25"/>
      <c r="R113" s="25"/>
      <c r="S113" s="25"/>
      <c r="T113" s="25"/>
    </row>
    <row r="114" spans="1:20" x14ac:dyDescent="0.3">
      <c r="A114" s="25"/>
      <c r="B114" s="25"/>
      <c r="C114" s="25"/>
      <c r="D114" s="25"/>
      <c r="E114" s="25"/>
      <c r="F114" s="25"/>
      <c r="G114" s="25"/>
      <c r="H114" s="25"/>
      <c r="I114" s="25"/>
      <c r="J114" s="25"/>
      <c r="K114" s="25"/>
      <c r="L114" s="25"/>
      <c r="M114" s="25"/>
      <c r="N114" s="25"/>
      <c r="O114" s="25"/>
      <c r="P114" s="25"/>
      <c r="Q114" s="25"/>
      <c r="R114" s="25"/>
      <c r="S114" s="25"/>
      <c r="T114" s="25"/>
    </row>
    <row r="115" spans="1:20" x14ac:dyDescent="0.3">
      <c r="A115" s="25"/>
      <c r="B115" s="25"/>
      <c r="C115" s="25"/>
      <c r="D115" s="25"/>
      <c r="E115" s="25"/>
      <c r="F115" s="25"/>
      <c r="G115" s="25"/>
      <c r="H115" s="25"/>
      <c r="I115" s="25"/>
      <c r="J115" s="25"/>
      <c r="K115" s="25"/>
      <c r="L115" s="25"/>
      <c r="M115" s="25"/>
      <c r="N115" s="25"/>
      <c r="O115" s="25"/>
      <c r="P115" s="25"/>
      <c r="Q115" s="25"/>
      <c r="R115" s="25"/>
      <c r="S115" s="25"/>
      <c r="T115" s="25"/>
    </row>
    <row r="116" spans="1:20" x14ac:dyDescent="0.3">
      <c r="A116" s="25"/>
      <c r="B116" s="25"/>
      <c r="C116" s="25"/>
      <c r="D116" s="25"/>
      <c r="E116" s="25"/>
      <c r="F116" s="25"/>
      <c r="G116" s="25"/>
      <c r="H116" s="25"/>
      <c r="I116" s="25"/>
      <c r="J116" s="25"/>
      <c r="K116" s="25"/>
      <c r="L116" s="25"/>
      <c r="M116" s="25"/>
      <c r="N116" s="25"/>
      <c r="O116" s="25"/>
      <c r="P116" s="25"/>
      <c r="Q116" s="25"/>
      <c r="R116" s="25"/>
      <c r="S116" s="25"/>
      <c r="T116" s="25"/>
    </row>
    <row r="117" spans="1:20" x14ac:dyDescent="0.3">
      <c r="A117" s="25"/>
      <c r="B117" s="25"/>
      <c r="C117" s="25"/>
      <c r="D117" s="25"/>
      <c r="E117" s="25"/>
      <c r="F117" s="25"/>
      <c r="G117" s="25"/>
      <c r="H117" s="25"/>
      <c r="I117" s="25"/>
      <c r="J117" s="25"/>
      <c r="K117" s="25"/>
      <c r="L117" s="25"/>
      <c r="M117" s="25"/>
      <c r="N117" s="25"/>
      <c r="O117" s="25"/>
      <c r="P117" s="25"/>
      <c r="Q117" s="25"/>
      <c r="R117" s="25"/>
      <c r="S117" s="25"/>
      <c r="T117" s="25"/>
    </row>
    <row r="118" spans="1:20" x14ac:dyDescent="0.3">
      <c r="A118" s="25"/>
      <c r="B118" s="25"/>
      <c r="C118" s="25"/>
      <c r="D118" s="25"/>
      <c r="E118" s="25"/>
      <c r="F118" s="25"/>
      <c r="G118" s="25"/>
      <c r="H118" s="25"/>
      <c r="I118" s="25"/>
      <c r="J118" s="25"/>
      <c r="K118" s="25"/>
      <c r="L118" s="25"/>
      <c r="M118" s="25"/>
      <c r="N118" s="25"/>
      <c r="O118" s="25"/>
      <c r="P118" s="25"/>
      <c r="Q118" s="25"/>
      <c r="R118" s="25"/>
      <c r="S118" s="25"/>
      <c r="T118" s="25"/>
    </row>
    <row r="119" spans="1:20" x14ac:dyDescent="0.3">
      <c r="A119" s="25"/>
      <c r="B119" s="25"/>
      <c r="C119" s="25"/>
      <c r="D119" s="25"/>
      <c r="E119" s="25"/>
      <c r="F119" s="25"/>
      <c r="G119" s="25"/>
      <c r="H119" s="25"/>
      <c r="I119" s="25"/>
      <c r="J119" s="25"/>
      <c r="K119" s="25"/>
      <c r="L119" s="25"/>
      <c r="M119" s="25"/>
      <c r="N119" s="25"/>
      <c r="O119" s="25"/>
      <c r="P119" s="25"/>
      <c r="Q119" s="25"/>
      <c r="R119" s="25"/>
      <c r="S119" s="25"/>
      <c r="T119" s="25"/>
    </row>
    <row r="120" spans="1:20" x14ac:dyDescent="0.3">
      <c r="A120" s="25"/>
      <c r="B120" s="25"/>
      <c r="C120" s="25"/>
      <c r="D120" s="25"/>
      <c r="E120" s="25"/>
      <c r="F120" s="25"/>
      <c r="G120" s="25"/>
      <c r="H120" s="25"/>
      <c r="I120" s="25"/>
      <c r="J120" s="25"/>
      <c r="K120" s="25"/>
      <c r="L120" s="25"/>
      <c r="M120" s="25"/>
      <c r="N120" s="25"/>
      <c r="O120" s="25"/>
      <c r="P120" s="25"/>
      <c r="Q120" s="25"/>
      <c r="R120" s="25"/>
      <c r="S120" s="25"/>
      <c r="T120" s="25"/>
    </row>
    <row r="121" spans="1:20" x14ac:dyDescent="0.3">
      <c r="A121" s="25"/>
      <c r="B121" s="25"/>
      <c r="C121" s="25"/>
      <c r="D121" s="25"/>
      <c r="E121" s="25"/>
      <c r="F121" s="25"/>
      <c r="G121" s="25"/>
      <c r="H121" s="25"/>
      <c r="I121" s="25"/>
      <c r="J121" s="25"/>
      <c r="K121" s="25"/>
      <c r="L121" s="25"/>
      <c r="M121" s="25"/>
      <c r="N121" s="25"/>
      <c r="O121" s="25"/>
      <c r="P121" s="25"/>
      <c r="Q121" s="25"/>
      <c r="R121" s="25"/>
      <c r="S121" s="25"/>
      <c r="T121" s="25"/>
    </row>
    <row r="122" spans="1:20" x14ac:dyDescent="0.3">
      <c r="A122" s="25"/>
      <c r="B122" s="25"/>
      <c r="C122" s="25"/>
      <c r="D122" s="25"/>
      <c r="E122" s="25"/>
      <c r="F122" s="25"/>
      <c r="G122" s="25"/>
      <c r="H122" s="25"/>
      <c r="I122" s="25"/>
      <c r="J122" s="25"/>
      <c r="K122" s="25"/>
      <c r="L122" s="25"/>
      <c r="M122" s="25"/>
      <c r="N122" s="25"/>
      <c r="O122" s="25"/>
      <c r="P122" s="25"/>
      <c r="Q122" s="25"/>
      <c r="R122" s="25"/>
      <c r="S122" s="25"/>
      <c r="T122" s="25"/>
    </row>
    <row r="123" spans="1:20" x14ac:dyDescent="0.3">
      <c r="A123" s="25"/>
      <c r="B123" s="25"/>
      <c r="C123" s="25"/>
      <c r="D123" s="25"/>
      <c r="E123" s="25"/>
      <c r="F123" s="25"/>
      <c r="G123" s="25"/>
      <c r="H123" s="25"/>
      <c r="I123" s="25"/>
      <c r="J123" s="25"/>
      <c r="K123" s="25"/>
      <c r="L123" s="25"/>
      <c r="M123" s="25"/>
      <c r="N123" s="25"/>
      <c r="O123" s="25"/>
      <c r="P123" s="25"/>
      <c r="Q123" s="25"/>
      <c r="R123" s="25"/>
      <c r="S123" s="25"/>
      <c r="T123" s="25"/>
    </row>
    <row r="124" spans="1:20" x14ac:dyDescent="0.3">
      <c r="A124" s="25"/>
      <c r="B124" s="25"/>
      <c r="C124" s="25"/>
      <c r="D124" s="25"/>
      <c r="E124" s="25"/>
      <c r="F124" s="25"/>
      <c r="G124" s="25"/>
      <c r="H124" s="25"/>
      <c r="I124" s="25"/>
      <c r="J124" s="25"/>
      <c r="K124" s="25"/>
      <c r="L124" s="25"/>
      <c r="M124" s="25"/>
      <c r="N124" s="25"/>
      <c r="O124" s="25"/>
      <c r="P124" s="25"/>
      <c r="Q124" s="25"/>
      <c r="R124" s="25"/>
      <c r="S124" s="25"/>
      <c r="T124" s="25"/>
    </row>
    <row r="125" spans="1:20" x14ac:dyDescent="0.3">
      <c r="A125" s="25"/>
      <c r="B125" s="25"/>
      <c r="C125" s="25"/>
      <c r="D125" s="25"/>
      <c r="E125" s="25"/>
      <c r="F125" s="25"/>
      <c r="G125" s="25"/>
      <c r="H125" s="25"/>
      <c r="I125" s="25"/>
      <c r="J125" s="25"/>
      <c r="K125" s="25"/>
      <c r="L125" s="25"/>
      <c r="M125" s="25"/>
      <c r="N125" s="25"/>
      <c r="O125" s="25"/>
      <c r="P125" s="25"/>
      <c r="Q125" s="25"/>
      <c r="R125" s="25"/>
      <c r="S125" s="25"/>
      <c r="T125" s="25"/>
    </row>
    <row r="126" spans="1:20" x14ac:dyDescent="0.3">
      <c r="A126" s="25"/>
      <c r="B126" s="25"/>
      <c r="C126" s="25"/>
      <c r="D126" s="25"/>
      <c r="E126" s="25"/>
      <c r="F126" s="25"/>
      <c r="G126" s="25"/>
      <c r="H126" s="25"/>
      <c r="I126" s="25"/>
      <c r="J126" s="25"/>
      <c r="K126" s="25"/>
      <c r="L126" s="25"/>
      <c r="M126" s="25"/>
      <c r="N126" s="25"/>
      <c r="O126" s="25"/>
      <c r="P126" s="25"/>
      <c r="Q126" s="25"/>
      <c r="R126" s="25"/>
      <c r="S126" s="25"/>
      <c r="T126" s="25"/>
    </row>
    <row r="127" spans="1:20" x14ac:dyDescent="0.3">
      <c r="A127" s="25"/>
      <c r="B127" s="25"/>
      <c r="C127" s="25"/>
      <c r="D127" s="25"/>
      <c r="E127" s="25"/>
      <c r="F127" s="25"/>
      <c r="G127" s="25"/>
      <c r="H127" s="25"/>
      <c r="I127" s="25"/>
      <c r="J127" s="25"/>
      <c r="K127" s="25"/>
      <c r="L127" s="25"/>
      <c r="M127" s="25"/>
      <c r="N127" s="25"/>
      <c r="O127" s="25"/>
      <c r="P127" s="25"/>
      <c r="Q127" s="25"/>
      <c r="R127" s="25"/>
      <c r="S127" s="25"/>
      <c r="T127" s="25"/>
    </row>
    <row r="128" spans="1:20" x14ac:dyDescent="0.3">
      <c r="A128" s="25"/>
      <c r="B128" s="25"/>
      <c r="C128" s="25"/>
      <c r="D128" s="25"/>
      <c r="E128" s="25"/>
      <c r="F128" s="25"/>
      <c r="G128" s="25"/>
      <c r="H128" s="25"/>
      <c r="I128" s="25"/>
      <c r="J128" s="25"/>
      <c r="K128" s="25"/>
      <c r="L128" s="25"/>
      <c r="M128" s="25"/>
      <c r="N128" s="25"/>
      <c r="O128" s="25"/>
      <c r="P128" s="25"/>
      <c r="Q128" s="25"/>
      <c r="R128" s="25"/>
      <c r="S128" s="25"/>
      <c r="T128" s="25"/>
    </row>
    <row r="129" spans="1:20" x14ac:dyDescent="0.3">
      <c r="A129" s="25"/>
      <c r="B129" s="25"/>
      <c r="C129" s="25"/>
      <c r="D129" s="25"/>
      <c r="E129" s="25"/>
      <c r="F129" s="25"/>
      <c r="G129" s="25"/>
      <c r="H129" s="25"/>
      <c r="I129" s="25"/>
      <c r="J129" s="25"/>
      <c r="K129" s="25"/>
      <c r="L129" s="25"/>
      <c r="M129" s="25"/>
      <c r="N129" s="25"/>
      <c r="O129" s="25"/>
      <c r="P129" s="25"/>
      <c r="Q129" s="25"/>
      <c r="R129" s="25"/>
      <c r="S129" s="25"/>
      <c r="T129" s="25"/>
    </row>
    <row r="130" spans="1:20" x14ac:dyDescent="0.3">
      <c r="A130" s="25"/>
      <c r="B130" s="25"/>
      <c r="C130" s="25"/>
      <c r="D130" s="25"/>
      <c r="E130" s="25"/>
      <c r="F130" s="25"/>
      <c r="G130" s="25"/>
      <c r="H130" s="25"/>
      <c r="I130" s="25"/>
      <c r="J130" s="25"/>
      <c r="K130" s="25"/>
      <c r="L130" s="25"/>
      <c r="M130" s="25"/>
      <c r="N130" s="25"/>
      <c r="O130" s="25"/>
      <c r="P130" s="25"/>
      <c r="Q130" s="25"/>
      <c r="R130" s="25"/>
      <c r="S130" s="25"/>
      <c r="T130" s="25"/>
    </row>
    <row r="131" spans="1:20" hidden="1" x14ac:dyDescent="0.3">
      <c r="A131" s="25"/>
      <c r="B131" s="25"/>
      <c r="C131" s="25"/>
      <c r="D131" s="25"/>
      <c r="E131" s="25"/>
      <c r="F131" s="25"/>
      <c r="G131" s="25"/>
      <c r="H131" s="25"/>
      <c r="I131" s="25"/>
      <c r="J131" s="25"/>
      <c r="K131" s="25"/>
      <c r="L131" s="25"/>
      <c r="M131" s="25"/>
      <c r="N131" s="25"/>
      <c r="O131" s="25"/>
      <c r="P131" s="25"/>
      <c r="Q131" s="25"/>
      <c r="R131" s="25"/>
      <c r="S131" s="25"/>
      <c r="T131" s="25"/>
    </row>
    <row r="132" spans="1:20" hidden="1" x14ac:dyDescent="0.3">
      <c r="M132" s="25"/>
      <c r="N132" s="25"/>
      <c r="O132" s="25"/>
      <c r="P132" s="25"/>
      <c r="Q132" s="25"/>
      <c r="R132" s="25"/>
      <c r="S132" s="25"/>
      <c r="T132" s="25"/>
    </row>
    <row r="133" spans="1:20" hidden="1" x14ac:dyDescent="0.3">
      <c r="M133" s="25"/>
      <c r="N133" s="25"/>
      <c r="O133" s="25"/>
      <c r="P133" s="25"/>
      <c r="Q133" s="25"/>
      <c r="R133" s="25"/>
      <c r="S133" s="25"/>
      <c r="T133" s="25"/>
    </row>
    <row r="134" spans="1:20" hidden="1" x14ac:dyDescent="0.3">
      <c r="M134" s="25"/>
      <c r="N134" s="25"/>
      <c r="O134" s="25"/>
      <c r="P134" s="25"/>
      <c r="Q134" s="25"/>
      <c r="R134" s="25"/>
      <c r="S134" s="25"/>
      <c r="T134" s="25"/>
    </row>
    <row r="135" spans="1:20" hidden="1" x14ac:dyDescent="0.3">
      <c r="M135" s="25"/>
      <c r="N135" s="25"/>
      <c r="O135" s="25"/>
      <c r="P135" s="25"/>
      <c r="Q135" s="25"/>
      <c r="R135" s="25"/>
      <c r="S135" s="25"/>
      <c r="T135" s="25"/>
    </row>
    <row r="136" spans="1:20" hidden="1" x14ac:dyDescent="0.3">
      <c r="M136" s="25"/>
      <c r="N136" s="25"/>
      <c r="O136" s="25"/>
      <c r="P136" s="25"/>
      <c r="Q136" s="25"/>
      <c r="R136" s="25"/>
      <c r="S136" s="25"/>
      <c r="T136" s="25"/>
    </row>
  </sheetData>
  <sheetProtection algorithmName="SHA-512" hashValue="LYvYl5ooj1Ha6xH+BQb2GhoL1B9U8CrW3wk6O6XowNEjJ7sZIq179MjgtCn0llAIVxjwgVSRMmyqRTw4SAI6bw==" saltValue="WhM8uNmuz+5gTMjQUur5Bw==" spinCount="100000" sheet="1" objects="1" scenarios="1"/>
  <autoFilter ref="C4:M85" xr:uid="{E552320D-03F4-40A5-8ECA-D756F1A8018E}"/>
  <mergeCells count="11">
    <mergeCell ref="B1:N2"/>
    <mergeCell ref="N3:N5"/>
    <mergeCell ref="C3:F3"/>
    <mergeCell ref="B3:B5"/>
    <mergeCell ref="M4:M5"/>
    <mergeCell ref="L4:L5"/>
    <mergeCell ref="F4:F5"/>
    <mergeCell ref="E4:E5"/>
    <mergeCell ref="D4:D5"/>
    <mergeCell ref="C4:C5"/>
    <mergeCell ref="G3:M3"/>
  </mergeCells>
  <conditionalFormatting sqref="E91:E106">
    <cfRule type="cellIs" dxfId="74" priority="1" operator="equal">
      <formula>"Enhancement not possible"</formula>
    </cfRule>
  </conditionalFormatting>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32FE4-6CB4-4202-B14F-392921DBB553}">
  <sheetPr codeName="Sheet2">
    <tabColor rgb="FF005E5C"/>
  </sheetPr>
  <dimension ref="A1:XEZ416"/>
  <sheetViews>
    <sheetView zoomScale="80" zoomScaleNormal="80" workbookViewId="0"/>
  </sheetViews>
  <sheetFormatPr defaultColWidth="2.77734375" defaultRowHeight="14.4" zeroHeight="1" x14ac:dyDescent="0.3"/>
  <cols>
    <col min="1" max="1" width="25.21875" customWidth="1"/>
    <col min="2" max="2" width="8.77734375" customWidth="1"/>
    <col min="3" max="3" width="42" customWidth="1"/>
    <col min="4" max="4" width="18.77734375" customWidth="1"/>
    <col min="5" max="5" width="32.44140625" customWidth="1"/>
    <col min="6" max="6" width="19.5546875" customWidth="1"/>
    <col min="7" max="7" width="32" bestFit="1" customWidth="1"/>
    <col min="8" max="8" width="8.77734375" customWidth="1"/>
    <col min="9" max="9" width="82.44140625" bestFit="1" customWidth="1"/>
    <col min="10" max="10" width="13.77734375" customWidth="1"/>
    <col min="11" max="11" width="35.21875" bestFit="1" customWidth="1"/>
    <col min="12" max="12" width="8.77734375" customWidth="1"/>
    <col min="13" max="13" width="48.5546875" bestFit="1" customWidth="1"/>
    <col min="14" max="14" width="8.77734375" customWidth="1"/>
    <col min="15" max="15" width="33.5546875" bestFit="1" customWidth="1"/>
    <col min="16" max="16" width="8.77734375" customWidth="1"/>
    <col min="17" max="17" width="44" customWidth="1"/>
    <col min="18" max="18" width="8.77734375" customWidth="1"/>
    <col min="19" max="19" width="35.77734375" bestFit="1" customWidth="1"/>
    <col min="20" max="20" width="8.77734375" customWidth="1"/>
    <col min="21" max="21" width="61.5546875" customWidth="1"/>
    <col min="22" max="22" width="12" bestFit="1" customWidth="1"/>
    <col min="23" max="23" width="81.77734375" bestFit="1" customWidth="1"/>
    <col min="24" max="24" width="61.21875" bestFit="1" customWidth="1"/>
    <col min="25" max="25" width="47.77734375" bestFit="1" customWidth="1"/>
    <col min="26" max="26" width="17" bestFit="1" customWidth="1"/>
    <col min="27" max="27" width="48.21875" customWidth="1"/>
    <col min="28" max="28" width="17" bestFit="1" customWidth="1"/>
    <col min="29" max="29" width="48.21875" customWidth="1"/>
    <col min="30" max="16380" width="2.77734375" hidden="1" customWidth="1"/>
    <col min="16381" max="16384" width="2.77734375" style="25" customWidth="1"/>
  </cols>
  <sheetData>
    <row r="1" spans="1:29" x14ac:dyDescent="0.3">
      <c r="A1" s="65" t="s">
        <v>422</v>
      </c>
      <c r="B1" s="25"/>
      <c r="C1" s="65" t="s">
        <v>199</v>
      </c>
      <c r="D1" s="25"/>
      <c r="E1" s="65" t="s">
        <v>203</v>
      </c>
      <c r="F1" s="25"/>
      <c r="G1" s="65" t="s">
        <v>423</v>
      </c>
      <c r="H1" s="25"/>
      <c r="I1" s="65" t="s">
        <v>424</v>
      </c>
      <c r="J1" s="25"/>
      <c r="K1" s="65" t="s">
        <v>425</v>
      </c>
      <c r="L1" s="25"/>
      <c r="M1" s="65" t="s">
        <v>207</v>
      </c>
      <c r="N1" s="25"/>
      <c r="O1" s="65" t="s">
        <v>426</v>
      </c>
      <c r="P1" s="25"/>
      <c r="Q1" s="65" t="s">
        <v>209</v>
      </c>
      <c r="R1" s="25"/>
      <c r="S1" s="65" t="s">
        <v>427</v>
      </c>
      <c r="T1" s="25"/>
      <c r="U1" s="65" t="s">
        <v>428</v>
      </c>
      <c r="V1" s="25"/>
      <c r="W1" s="65" t="s">
        <v>429</v>
      </c>
      <c r="X1" s="25"/>
      <c r="Y1" s="65" t="s">
        <v>249</v>
      </c>
      <c r="Z1" s="25"/>
      <c r="AA1" s="65" t="s">
        <v>430</v>
      </c>
      <c r="AB1" s="25"/>
      <c r="AC1" s="65" t="s">
        <v>431</v>
      </c>
    </row>
    <row r="2" spans="1:29" x14ac:dyDescent="0.3">
      <c r="A2" s="64" t="s">
        <v>199</v>
      </c>
      <c r="B2" s="25"/>
      <c r="C2" s="17" t="s">
        <v>292</v>
      </c>
      <c r="D2" s="25"/>
      <c r="E2" s="64" t="s">
        <v>304</v>
      </c>
      <c r="F2" s="25"/>
      <c r="G2" s="64" t="s">
        <v>309</v>
      </c>
      <c r="H2" s="25"/>
      <c r="I2" s="64" t="s">
        <v>361</v>
      </c>
      <c r="J2" s="25"/>
      <c r="K2" s="64" t="s">
        <v>351</v>
      </c>
      <c r="L2" s="25"/>
      <c r="M2" s="64" t="s">
        <v>318</v>
      </c>
      <c r="N2" s="25"/>
      <c r="O2" s="64" t="s">
        <v>322</v>
      </c>
      <c r="P2" s="25"/>
      <c r="Q2" s="64" t="s">
        <v>325</v>
      </c>
      <c r="R2" s="25"/>
      <c r="S2" s="64" t="s">
        <v>347</v>
      </c>
      <c r="T2" s="25"/>
      <c r="U2" s="64" t="s">
        <v>230</v>
      </c>
      <c r="V2" s="25"/>
      <c r="W2" s="64" t="s">
        <v>237</v>
      </c>
      <c r="X2" s="25"/>
      <c r="Y2" s="64" t="s">
        <v>256</v>
      </c>
      <c r="Z2" s="25"/>
      <c r="AA2" s="297" t="s">
        <v>352</v>
      </c>
      <c r="AB2" s="25"/>
      <c r="AC2" s="378" t="s">
        <v>91</v>
      </c>
    </row>
    <row r="3" spans="1:29" x14ac:dyDescent="0.3">
      <c r="A3" s="64" t="s">
        <v>203</v>
      </c>
      <c r="B3" s="25"/>
      <c r="C3" s="17" t="s">
        <v>294</v>
      </c>
      <c r="D3" s="25"/>
      <c r="E3" s="64" t="s">
        <v>305</v>
      </c>
      <c r="F3" s="25"/>
      <c r="G3" s="64" t="s">
        <v>310</v>
      </c>
      <c r="H3" s="25"/>
      <c r="I3" s="64" t="s">
        <v>362</v>
      </c>
      <c r="J3" s="25"/>
      <c r="K3" s="64" t="s">
        <v>353</v>
      </c>
      <c r="L3" s="25"/>
      <c r="M3" s="64" t="s">
        <v>320</v>
      </c>
      <c r="N3" s="25"/>
      <c r="O3" s="66" t="s">
        <v>323</v>
      </c>
      <c r="P3" s="25"/>
      <c r="Q3" s="64" t="s">
        <v>326</v>
      </c>
      <c r="R3" s="25"/>
      <c r="S3" s="64" t="s">
        <v>348</v>
      </c>
      <c r="T3" s="25"/>
      <c r="U3" s="64" t="s">
        <v>231</v>
      </c>
      <c r="V3" s="25"/>
      <c r="W3" s="64" t="s">
        <v>233</v>
      </c>
      <c r="X3" s="25"/>
      <c r="Y3" s="64" t="s">
        <v>258</v>
      </c>
      <c r="Z3" s="25"/>
      <c r="AA3" s="297"/>
      <c r="AB3" s="25"/>
      <c r="AC3" s="297"/>
    </row>
    <row r="4" spans="1:29" x14ac:dyDescent="0.3">
      <c r="A4" s="64" t="s">
        <v>204</v>
      </c>
      <c r="B4" s="25"/>
      <c r="C4" s="17" t="s">
        <v>295</v>
      </c>
      <c r="D4" s="25"/>
      <c r="E4" s="64" t="s">
        <v>306</v>
      </c>
      <c r="F4" s="25"/>
      <c r="G4" s="64" t="s">
        <v>311</v>
      </c>
      <c r="H4" s="25"/>
      <c r="I4" s="64" t="s">
        <v>363</v>
      </c>
      <c r="J4" s="25"/>
      <c r="K4" s="64" t="s">
        <v>354</v>
      </c>
      <c r="L4" s="25"/>
      <c r="M4" s="66" t="s">
        <v>321</v>
      </c>
      <c r="N4" s="25"/>
      <c r="O4" s="297" t="s">
        <v>324</v>
      </c>
      <c r="P4" s="25"/>
      <c r="Q4" s="64" t="s">
        <v>329</v>
      </c>
      <c r="R4" s="25"/>
      <c r="S4" s="64" t="s">
        <v>349</v>
      </c>
      <c r="T4" s="25"/>
      <c r="U4" s="64" t="s">
        <v>232</v>
      </c>
      <c r="V4" s="25"/>
      <c r="W4" s="64" t="s">
        <v>238</v>
      </c>
      <c r="X4" s="25"/>
      <c r="Y4" s="64" t="s">
        <v>257</v>
      </c>
      <c r="Z4" s="25"/>
      <c r="AA4" s="17"/>
      <c r="AB4" s="25"/>
      <c r="AC4" s="17"/>
    </row>
    <row r="5" spans="1:29" x14ac:dyDescent="0.3">
      <c r="A5" s="64" t="s">
        <v>205</v>
      </c>
      <c r="B5" s="25"/>
      <c r="C5" s="17" t="s">
        <v>296</v>
      </c>
      <c r="D5" s="25"/>
      <c r="E5" s="64" t="s">
        <v>307</v>
      </c>
      <c r="F5" s="25"/>
      <c r="G5" s="64" t="s">
        <v>312</v>
      </c>
      <c r="H5" s="25"/>
      <c r="I5" s="17"/>
      <c r="J5" s="25"/>
      <c r="K5" s="64" t="s">
        <v>355</v>
      </c>
      <c r="L5" s="25"/>
      <c r="M5" s="17"/>
      <c r="N5" s="25"/>
      <c r="O5" s="17"/>
      <c r="P5" s="25"/>
      <c r="Q5" s="64" t="s">
        <v>330</v>
      </c>
      <c r="R5" s="25"/>
      <c r="S5" s="64" t="s">
        <v>350</v>
      </c>
      <c r="T5" s="25"/>
      <c r="U5" s="64" t="s">
        <v>236</v>
      </c>
      <c r="V5" s="25"/>
      <c r="W5" s="64" t="s">
        <v>234</v>
      </c>
      <c r="X5" s="25"/>
      <c r="Y5" s="64"/>
      <c r="Z5" s="25"/>
      <c r="AA5" s="17"/>
      <c r="AB5" s="25"/>
      <c r="AC5" s="17"/>
    </row>
    <row r="6" spans="1:29" x14ac:dyDescent="0.3">
      <c r="A6" s="64" t="s">
        <v>206</v>
      </c>
      <c r="B6" s="25"/>
      <c r="C6" s="17" t="s">
        <v>297</v>
      </c>
      <c r="D6" s="25"/>
      <c r="E6" s="66" t="s">
        <v>308</v>
      </c>
      <c r="F6" s="25"/>
      <c r="G6" s="64" t="s">
        <v>313</v>
      </c>
      <c r="H6" s="25"/>
      <c r="I6" s="17"/>
      <c r="J6" s="25"/>
      <c r="K6" s="64" t="s">
        <v>356</v>
      </c>
      <c r="L6" s="25"/>
      <c r="M6" s="17"/>
      <c r="N6" s="25"/>
      <c r="O6" s="17"/>
      <c r="P6" s="25"/>
      <c r="Q6" s="64" t="s">
        <v>331</v>
      </c>
      <c r="R6" s="25"/>
      <c r="S6" s="17"/>
      <c r="T6" s="25"/>
      <c r="U6" s="64" t="s">
        <v>240</v>
      </c>
      <c r="V6" s="25"/>
      <c r="W6" s="17"/>
      <c r="X6" s="25"/>
      <c r="Y6" s="64"/>
      <c r="Z6" s="25"/>
      <c r="AA6" s="17"/>
      <c r="AB6" s="25"/>
      <c r="AC6" s="17"/>
    </row>
    <row r="7" spans="1:29" x14ac:dyDescent="0.3">
      <c r="A7" s="64" t="s">
        <v>207</v>
      </c>
      <c r="B7" s="25"/>
      <c r="C7" s="17" t="s">
        <v>299</v>
      </c>
      <c r="D7" s="25"/>
      <c r="E7" s="17"/>
      <c r="F7" s="25"/>
      <c r="G7" s="64" t="s">
        <v>314</v>
      </c>
      <c r="H7" s="25"/>
      <c r="I7" s="17"/>
      <c r="J7" s="25"/>
      <c r="K7" s="64" t="s">
        <v>357</v>
      </c>
      <c r="L7" s="25"/>
      <c r="M7" s="17"/>
      <c r="N7" s="25"/>
      <c r="O7" s="17"/>
      <c r="P7" s="25"/>
      <c r="Q7" s="64" t="s">
        <v>332</v>
      </c>
      <c r="R7" s="25"/>
      <c r="S7" s="17"/>
      <c r="T7" s="25"/>
      <c r="U7" s="64" t="s">
        <v>237</v>
      </c>
      <c r="V7" s="25"/>
      <c r="W7" s="17"/>
      <c r="X7" s="25"/>
      <c r="Y7" s="64"/>
      <c r="Z7" s="25"/>
      <c r="AA7" s="17"/>
      <c r="AB7" s="25"/>
      <c r="AC7" s="17"/>
    </row>
    <row r="8" spans="1:29" x14ac:dyDescent="0.3">
      <c r="A8" s="64" t="s">
        <v>208</v>
      </c>
      <c r="B8" s="25"/>
      <c r="C8" s="17" t="s">
        <v>300</v>
      </c>
      <c r="D8" s="25"/>
      <c r="E8" s="17"/>
      <c r="F8" s="25"/>
      <c r="G8" s="64" t="s">
        <v>315</v>
      </c>
      <c r="H8" s="25"/>
      <c r="I8" s="17"/>
      <c r="J8" s="25"/>
      <c r="K8" s="66" t="s">
        <v>358</v>
      </c>
      <c r="L8" s="25"/>
      <c r="M8" s="17"/>
      <c r="N8" s="25"/>
      <c r="O8" s="17"/>
      <c r="P8" s="25"/>
      <c r="Q8" s="64" t="s">
        <v>333</v>
      </c>
      <c r="R8" s="25"/>
      <c r="S8" s="17"/>
      <c r="T8" s="25"/>
      <c r="U8" s="64" t="s">
        <v>233</v>
      </c>
      <c r="V8" s="25"/>
      <c r="W8" s="17"/>
      <c r="X8" s="25"/>
      <c r="Y8" s="64"/>
      <c r="Z8" s="25"/>
      <c r="AA8" s="17"/>
      <c r="AB8" s="25"/>
      <c r="AC8" s="17"/>
    </row>
    <row r="9" spans="1:29" x14ac:dyDescent="0.3">
      <c r="A9" s="64" t="s">
        <v>209</v>
      </c>
      <c r="B9" s="25"/>
      <c r="C9" s="17" t="s">
        <v>301</v>
      </c>
      <c r="D9" s="25"/>
      <c r="E9" s="17"/>
      <c r="F9" s="25"/>
      <c r="G9" s="66" t="s">
        <v>316</v>
      </c>
      <c r="H9" s="25"/>
      <c r="I9" s="17"/>
      <c r="J9" s="25"/>
      <c r="K9" s="64" t="s">
        <v>359</v>
      </c>
      <c r="L9" s="25"/>
      <c r="M9" s="17"/>
      <c r="N9" s="25"/>
      <c r="O9" s="17"/>
      <c r="P9" s="25"/>
      <c r="Q9" s="64" t="s">
        <v>338</v>
      </c>
      <c r="R9" s="25"/>
      <c r="S9" s="17"/>
      <c r="T9" s="25"/>
      <c r="U9" s="64" t="s">
        <v>238</v>
      </c>
      <c r="V9" s="25"/>
      <c r="W9" s="17"/>
      <c r="X9" s="25"/>
      <c r="Y9" s="64"/>
      <c r="Z9" s="25"/>
      <c r="AA9" s="17"/>
      <c r="AB9" s="25"/>
      <c r="AC9" s="17"/>
    </row>
    <row r="10" spans="1:29" x14ac:dyDescent="0.3">
      <c r="A10" s="66" t="s">
        <v>210</v>
      </c>
      <c r="B10" s="25"/>
      <c r="C10" s="17" t="s">
        <v>302</v>
      </c>
      <c r="D10" s="25"/>
      <c r="E10" s="17"/>
      <c r="F10" s="25"/>
      <c r="G10" s="66" t="s">
        <v>317</v>
      </c>
      <c r="H10" s="25"/>
      <c r="I10" s="17"/>
      <c r="J10" s="25"/>
      <c r="K10" s="64" t="s">
        <v>360</v>
      </c>
      <c r="L10" s="25"/>
      <c r="M10" s="17"/>
      <c r="N10" s="25"/>
      <c r="O10" s="17"/>
      <c r="P10" s="25"/>
      <c r="Q10" s="64" t="s">
        <v>335</v>
      </c>
      <c r="R10" s="25"/>
      <c r="S10" s="17"/>
      <c r="T10" s="25"/>
      <c r="U10" s="66" t="s">
        <v>234</v>
      </c>
      <c r="V10" s="25"/>
      <c r="W10" s="17"/>
      <c r="X10" s="25"/>
      <c r="Y10" s="64"/>
      <c r="Z10" s="25"/>
      <c r="AA10" s="17"/>
      <c r="AB10" s="25"/>
      <c r="AC10" s="17"/>
    </row>
    <row r="11" spans="1:29" x14ac:dyDescent="0.3">
      <c r="A11" s="132" t="s">
        <v>211</v>
      </c>
      <c r="B11" s="25"/>
      <c r="C11" s="17" t="s">
        <v>303</v>
      </c>
      <c r="D11" s="25"/>
      <c r="E11" s="17"/>
      <c r="F11" s="25"/>
      <c r="G11" s="17"/>
      <c r="H11" s="25"/>
      <c r="I11" s="17"/>
      <c r="J11" s="25"/>
      <c r="K11" s="17"/>
      <c r="L11" s="25"/>
      <c r="M11" s="17"/>
      <c r="N11" s="25"/>
      <c r="O11" s="17"/>
      <c r="P11" s="25"/>
      <c r="Q11" s="64" t="s">
        <v>336</v>
      </c>
      <c r="R11" s="25"/>
      <c r="S11" s="17"/>
      <c r="T11" s="25"/>
      <c r="U11" s="17"/>
      <c r="V11" s="25"/>
      <c r="W11" s="17"/>
      <c r="X11" s="25"/>
      <c r="Y11" s="66"/>
      <c r="Z11" s="25"/>
      <c r="AA11" s="17"/>
      <c r="AB11" s="25"/>
      <c r="AC11" s="17"/>
    </row>
    <row r="12" spans="1:29" x14ac:dyDescent="0.3">
      <c r="A12" s="17"/>
      <c r="B12" s="25"/>
      <c r="C12" s="17"/>
      <c r="D12" s="25"/>
      <c r="E12" s="17"/>
      <c r="F12" s="25"/>
      <c r="G12" s="17"/>
      <c r="H12" s="25"/>
      <c r="I12" s="17"/>
      <c r="J12" s="25"/>
      <c r="K12" s="17"/>
      <c r="L12" s="25"/>
      <c r="M12" s="17"/>
      <c r="N12" s="25"/>
      <c r="O12" s="17"/>
      <c r="P12" s="25"/>
      <c r="Q12" s="64" t="s">
        <v>337</v>
      </c>
      <c r="R12" s="25"/>
      <c r="S12" s="17"/>
      <c r="T12" s="25"/>
      <c r="U12" s="17"/>
      <c r="V12" s="25"/>
      <c r="W12" s="17"/>
      <c r="X12" s="25"/>
      <c r="Y12" s="17"/>
      <c r="Z12" s="25"/>
      <c r="AA12" s="17"/>
      <c r="AB12" s="25"/>
      <c r="AC12" s="17"/>
    </row>
    <row r="13" spans="1:29" x14ac:dyDescent="0.3">
      <c r="A13" s="17"/>
      <c r="B13" s="25"/>
      <c r="C13" s="17"/>
      <c r="D13" s="25"/>
      <c r="E13" s="17"/>
      <c r="F13" s="25"/>
      <c r="G13" s="17"/>
      <c r="H13" s="25"/>
      <c r="I13" s="17"/>
      <c r="J13" s="25"/>
      <c r="K13" s="17"/>
      <c r="L13" s="25"/>
      <c r="M13" s="17"/>
      <c r="N13" s="25"/>
      <c r="O13" s="17"/>
      <c r="P13" s="25"/>
      <c r="Q13" s="64" t="s">
        <v>334</v>
      </c>
      <c r="R13" s="25"/>
      <c r="S13" s="17"/>
      <c r="T13" s="25"/>
      <c r="U13" s="17"/>
      <c r="V13" s="25"/>
      <c r="W13" s="17"/>
      <c r="X13" s="25"/>
      <c r="Y13" s="17"/>
      <c r="Z13" s="25"/>
      <c r="AA13" s="17"/>
      <c r="AB13" s="25"/>
      <c r="AC13" s="17"/>
    </row>
    <row r="14" spans="1:29" x14ac:dyDescent="0.3">
      <c r="A14" s="17"/>
      <c r="B14" s="25"/>
      <c r="C14" s="17"/>
      <c r="D14" s="25"/>
      <c r="E14" s="17"/>
      <c r="F14" s="25"/>
      <c r="G14" s="17"/>
      <c r="H14" s="25"/>
      <c r="I14" s="17"/>
      <c r="J14" s="25"/>
      <c r="K14" s="17"/>
      <c r="L14" s="25"/>
      <c r="M14" s="17"/>
      <c r="N14" s="25"/>
      <c r="O14" s="17"/>
      <c r="P14" s="25"/>
      <c r="Q14" s="64" t="s">
        <v>339</v>
      </c>
      <c r="R14" s="25"/>
      <c r="S14" s="17"/>
      <c r="T14" s="25"/>
      <c r="U14" s="17"/>
      <c r="V14" s="25"/>
      <c r="W14" s="17"/>
      <c r="X14" s="25"/>
      <c r="Y14" s="17"/>
      <c r="Z14" s="25"/>
      <c r="AA14" s="17"/>
      <c r="AB14" s="25"/>
      <c r="AC14" s="17"/>
    </row>
    <row r="15" spans="1:29" x14ac:dyDescent="0.3">
      <c r="A15" s="17"/>
      <c r="B15" s="25"/>
      <c r="C15" s="17"/>
      <c r="D15" s="25"/>
      <c r="E15" s="17"/>
      <c r="F15" s="25"/>
      <c r="G15" s="17"/>
      <c r="H15" s="25"/>
      <c r="I15" s="17"/>
      <c r="J15" s="25"/>
      <c r="K15" s="17"/>
      <c r="L15" s="25"/>
      <c r="M15" s="17"/>
      <c r="N15" s="25"/>
      <c r="O15" s="17"/>
      <c r="P15" s="25"/>
      <c r="Q15" s="64" t="s">
        <v>340</v>
      </c>
      <c r="R15" s="25"/>
      <c r="S15" s="17"/>
      <c r="T15" s="25"/>
      <c r="U15" s="17"/>
      <c r="V15" s="25"/>
      <c r="W15" s="17"/>
      <c r="X15" s="25"/>
      <c r="Y15" s="17"/>
      <c r="Z15" s="25"/>
      <c r="AA15" s="17"/>
      <c r="AB15" s="25"/>
      <c r="AC15" s="17"/>
    </row>
    <row r="16" spans="1:29" x14ac:dyDescent="0.3">
      <c r="A16" s="17"/>
      <c r="B16" s="25"/>
      <c r="C16" s="17"/>
      <c r="D16" s="25"/>
      <c r="E16" s="17"/>
      <c r="F16" s="25"/>
      <c r="G16" s="17"/>
      <c r="H16" s="25"/>
      <c r="I16" s="17"/>
      <c r="J16" s="25"/>
      <c r="K16" s="17"/>
      <c r="L16" s="25"/>
      <c r="M16" s="17"/>
      <c r="N16" s="25"/>
      <c r="O16" s="17"/>
      <c r="P16" s="25"/>
      <c r="Q16" s="64" t="s">
        <v>341</v>
      </c>
      <c r="R16" s="25"/>
      <c r="S16" s="17"/>
      <c r="T16" s="25"/>
      <c r="U16" s="17"/>
      <c r="V16" s="25"/>
      <c r="W16" s="17"/>
      <c r="X16" s="25"/>
      <c r="Y16" s="17"/>
      <c r="Z16" s="25"/>
      <c r="AA16" s="17"/>
      <c r="AB16" s="25"/>
      <c r="AC16" s="17"/>
    </row>
    <row r="17" spans="1:29" x14ac:dyDescent="0.3">
      <c r="A17" s="17"/>
      <c r="B17" s="25"/>
      <c r="C17" s="17"/>
      <c r="D17" s="25"/>
      <c r="E17" s="17"/>
      <c r="F17" s="25"/>
      <c r="G17" s="17"/>
      <c r="H17" s="25"/>
      <c r="I17" s="17"/>
      <c r="J17" s="25"/>
      <c r="K17" s="17"/>
      <c r="L17" s="25"/>
      <c r="M17" s="17"/>
      <c r="N17" s="25"/>
      <c r="O17" s="17"/>
      <c r="P17" s="25"/>
      <c r="Q17" s="64" t="s">
        <v>342</v>
      </c>
      <c r="R17" s="25"/>
      <c r="S17" s="17"/>
      <c r="T17" s="25"/>
      <c r="U17" s="17"/>
      <c r="V17" s="25"/>
      <c r="W17" s="17"/>
      <c r="X17" s="25"/>
      <c r="Y17" s="17"/>
      <c r="Z17" s="25"/>
      <c r="AA17" s="17"/>
      <c r="AB17" s="25"/>
      <c r="AC17" s="17"/>
    </row>
    <row r="18" spans="1:29" x14ac:dyDescent="0.3">
      <c r="A18" s="17"/>
      <c r="B18" s="25"/>
      <c r="C18" s="17"/>
      <c r="D18" s="25"/>
      <c r="E18" s="17"/>
      <c r="F18" s="25"/>
      <c r="G18" s="17"/>
      <c r="H18" s="25"/>
      <c r="I18" s="17"/>
      <c r="J18" s="25"/>
      <c r="K18" s="17"/>
      <c r="L18" s="25"/>
      <c r="M18" s="17"/>
      <c r="N18" s="25"/>
      <c r="O18" s="17"/>
      <c r="P18" s="25"/>
      <c r="Q18" s="64" t="s">
        <v>343</v>
      </c>
      <c r="R18" s="25"/>
      <c r="S18" s="17"/>
      <c r="T18" s="25"/>
      <c r="U18" s="17"/>
      <c r="V18" s="25"/>
      <c r="W18" s="17"/>
      <c r="X18" s="25"/>
      <c r="Y18" s="17"/>
      <c r="Z18" s="25"/>
      <c r="AA18" s="17"/>
      <c r="AB18" s="25"/>
      <c r="AC18" s="17"/>
    </row>
    <row r="19" spans="1:29" x14ac:dyDescent="0.3">
      <c r="A19" s="17"/>
      <c r="B19" s="25"/>
      <c r="C19" s="17"/>
      <c r="D19" s="25"/>
      <c r="E19" s="17"/>
      <c r="F19" s="25"/>
      <c r="G19" s="17"/>
      <c r="H19" s="25"/>
      <c r="I19" s="17"/>
      <c r="J19" s="25"/>
      <c r="K19" s="17"/>
      <c r="L19" s="25"/>
      <c r="M19" s="17"/>
      <c r="N19" s="25"/>
      <c r="O19" s="17"/>
      <c r="P19" s="25"/>
      <c r="Q19" s="64" t="s">
        <v>344</v>
      </c>
      <c r="R19" s="25"/>
      <c r="S19" s="17"/>
      <c r="T19" s="25"/>
      <c r="U19" s="17"/>
      <c r="V19" s="25"/>
      <c r="W19" s="17"/>
      <c r="X19" s="25"/>
      <c r="Y19" s="17"/>
      <c r="Z19" s="25"/>
      <c r="AA19" s="17"/>
      <c r="AB19" s="25"/>
      <c r="AC19" s="17"/>
    </row>
    <row r="20" spans="1:29" x14ac:dyDescent="0.3">
      <c r="A20" s="17"/>
      <c r="B20" s="25"/>
      <c r="C20" s="17"/>
      <c r="D20" s="25"/>
      <c r="E20" s="17"/>
      <c r="F20" s="25"/>
      <c r="G20" s="17"/>
      <c r="H20" s="25"/>
      <c r="I20" s="17"/>
      <c r="J20" s="25"/>
      <c r="K20" s="17"/>
      <c r="L20" s="25"/>
      <c r="M20" s="17"/>
      <c r="N20" s="25"/>
      <c r="O20" s="17"/>
      <c r="P20" s="25"/>
      <c r="Q20" s="66" t="s">
        <v>345</v>
      </c>
      <c r="R20" s="25"/>
      <c r="S20" s="17"/>
      <c r="T20" s="25"/>
      <c r="U20" s="17"/>
      <c r="V20" s="25"/>
      <c r="W20" s="17"/>
      <c r="X20" s="25"/>
      <c r="Y20" s="17"/>
      <c r="Z20" s="25"/>
      <c r="AA20" s="17"/>
      <c r="AB20" s="25"/>
      <c r="AC20" s="17"/>
    </row>
    <row r="21" spans="1:29" x14ac:dyDescent="0.3">
      <c r="A21" s="17"/>
      <c r="B21" s="25"/>
      <c r="C21" s="17"/>
      <c r="D21" s="25"/>
      <c r="E21" s="17"/>
      <c r="F21" s="25"/>
      <c r="G21" s="17"/>
      <c r="H21" s="25"/>
      <c r="I21" s="17"/>
      <c r="J21" s="25"/>
      <c r="K21" s="17"/>
      <c r="L21" s="25"/>
      <c r="M21" s="17"/>
      <c r="N21" s="25"/>
      <c r="O21" s="17"/>
      <c r="P21" s="25"/>
      <c r="Q21" s="66" t="s">
        <v>346</v>
      </c>
      <c r="R21" s="25"/>
      <c r="S21" s="17"/>
      <c r="T21" s="25"/>
      <c r="U21" s="17"/>
      <c r="V21" s="25"/>
      <c r="W21" s="17"/>
      <c r="X21" s="25"/>
      <c r="Y21" s="17"/>
      <c r="Z21" s="25"/>
      <c r="AA21" s="17"/>
      <c r="AB21" s="25"/>
      <c r="AC21" s="17"/>
    </row>
    <row r="22" spans="1:29" x14ac:dyDescent="0.3">
      <c r="A22" s="17"/>
      <c r="B22" s="25"/>
      <c r="C22" s="17"/>
      <c r="D22" s="25"/>
      <c r="E22" s="17"/>
      <c r="F22" s="25"/>
      <c r="G22" s="17"/>
      <c r="H22" s="25"/>
      <c r="I22" s="17"/>
      <c r="J22" s="25"/>
      <c r="K22" s="17"/>
      <c r="L22" s="25"/>
      <c r="M22" s="17"/>
      <c r="N22" s="25"/>
      <c r="O22" s="17"/>
      <c r="P22" s="25"/>
      <c r="Q22" s="17"/>
      <c r="R22" s="25"/>
      <c r="S22" s="17"/>
      <c r="T22" s="25"/>
      <c r="U22" s="17"/>
      <c r="V22" s="25"/>
      <c r="W22" s="17"/>
      <c r="X22" s="25"/>
      <c r="Y22" s="17"/>
      <c r="Z22" s="25"/>
      <c r="AA22" s="17"/>
      <c r="AB22" s="25"/>
      <c r="AC22" s="17"/>
    </row>
    <row r="23" spans="1:29" x14ac:dyDescent="0.3">
      <c r="A23" s="17"/>
      <c r="B23" s="25"/>
      <c r="C23" s="17"/>
      <c r="D23" s="25"/>
      <c r="E23" s="17"/>
      <c r="F23" s="25"/>
      <c r="G23" s="17"/>
      <c r="H23" s="25"/>
      <c r="I23" s="17"/>
      <c r="J23" s="25"/>
      <c r="K23" s="17"/>
      <c r="L23" s="25"/>
      <c r="M23" s="17"/>
      <c r="N23" s="25"/>
      <c r="O23" s="17"/>
      <c r="P23" s="25"/>
      <c r="Q23" s="17"/>
      <c r="R23" s="25"/>
      <c r="S23" s="17"/>
      <c r="T23" s="25"/>
      <c r="U23" s="17"/>
      <c r="V23" s="25"/>
      <c r="W23" s="17"/>
      <c r="X23" s="25"/>
      <c r="Y23" s="17"/>
      <c r="Z23" s="25"/>
      <c r="AA23" s="17"/>
      <c r="AB23" s="25"/>
      <c r="AC23" s="17"/>
    </row>
    <row r="24" spans="1:29" x14ac:dyDescent="0.3">
      <c r="A24" s="17"/>
      <c r="B24" s="25"/>
      <c r="C24" s="17"/>
      <c r="D24" s="25"/>
      <c r="E24" s="17"/>
      <c r="F24" s="25"/>
      <c r="G24" s="17"/>
      <c r="H24" s="25"/>
      <c r="I24" s="17"/>
      <c r="J24" s="25"/>
      <c r="K24" s="17"/>
      <c r="L24" s="25"/>
      <c r="M24" s="17"/>
      <c r="N24" s="25"/>
      <c r="O24" s="17"/>
      <c r="P24" s="25"/>
      <c r="Q24" s="17"/>
      <c r="R24" s="25"/>
      <c r="S24" s="17"/>
      <c r="T24" s="25"/>
      <c r="U24" s="17"/>
      <c r="V24" s="25"/>
      <c r="W24" s="17"/>
      <c r="X24" s="25"/>
      <c r="Y24" s="17"/>
      <c r="Z24" s="25"/>
      <c r="AA24" s="17"/>
      <c r="AB24" s="25"/>
      <c r="AC24" s="17"/>
    </row>
    <row r="25" spans="1:29" x14ac:dyDescent="0.3">
      <c r="A25" s="17"/>
      <c r="B25" s="25"/>
      <c r="C25" s="17"/>
      <c r="D25" s="25"/>
      <c r="E25" s="17"/>
      <c r="F25" s="25"/>
      <c r="G25" s="17"/>
      <c r="H25" s="25"/>
      <c r="I25" s="17"/>
      <c r="J25" s="25"/>
      <c r="K25" s="17"/>
      <c r="L25" s="25"/>
      <c r="M25" s="17"/>
      <c r="N25" s="25"/>
      <c r="O25" s="17"/>
      <c r="P25" s="25"/>
      <c r="Q25" s="17"/>
      <c r="R25" s="25"/>
      <c r="S25" s="17"/>
      <c r="T25" s="25"/>
      <c r="U25" s="17"/>
      <c r="V25" s="25"/>
      <c r="W25" s="17"/>
      <c r="X25" s="25"/>
      <c r="Y25" s="17"/>
      <c r="Z25" s="25"/>
      <c r="AA25" s="17"/>
      <c r="AB25" s="25"/>
      <c r="AC25" s="17"/>
    </row>
    <row r="26" spans="1:29" x14ac:dyDescent="0.3">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row>
    <row r="27" spans="1:29" x14ac:dyDescent="0.3">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row>
    <row r="28" spans="1:29" x14ac:dyDescent="0.3">
      <c r="A28" s="50" t="s">
        <v>364</v>
      </c>
      <c r="B28" s="25"/>
      <c r="C28" s="50" t="s">
        <v>432</v>
      </c>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row>
    <row r="29" spans="1:29" x14ac:dyDescent="0.3">
      <c r="A29" s="9" t="s">
        <v>364</v>
      </c>
      <c r="B29" s="25"/>
      <c r="C29" s="9" t="s">
        <v>223</v>
      </c>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row>
    <row r="30" spans="1:29" x14ac:dyDescent="0.3">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row>
    <row r="31" spans="1:29" x14ac:dyDescent="0.3">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row>
    <row r="32" spans="1:29"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row>
    <row r="33" spans="1:29" x14ac:dyDescent="0.3">
      <c r="A33" s="25"/>
      <c r="B33" s="25"/>
      <c r="C33" s="25"/>
      <c r="D33" s="25"/>
      <c r="E33" s="25"/>
      <c r="F33" s="25"/>
      <c r="G33" s="25"/>
      <c r="H33" s="25"/>
      <c r="I33" s="25"/>
      <c r="J33" s="1051" t="s">
        <v>433</v>
      </c>
      <c r="K33" s="1051"/>
      <c r="L33" s="25"/>
      <c r="M33" s="25"/>
      <c r="N33" s="25"/>
      <c r="O33" s="25"/>
      <c r="P33" s="25"/>
      <c r="Q33" s="25"/>
      <c r="R33" s="25"/>
      <c r="S33" s="25"/>
      <c r="T33" s="25"/>
      <c r="U33" s="25"/>
      <c r="V33" s="25"/>
      <c r="W33" s="25"/>
      <c r="X33" s="25"/>
      <c r="Y33" s="25"/>
      <c r="Z33" s="25"/>
      <c r="AA33" s="25"/>
      <c r="AB33" s="25"/>
      <c r="AC33" s="25"/>
    </row>
    <row r="34" spans="1:29" x14ac:dyDescent="0.3">
      <c r="A34" s="25"/>
      <c r="B34" s="1048" t="s">
        <v>291</v>
      </c>
      <c r="C34" s="1049"/>
      <c r="D34" s="1050"/>
      <c r="E34" s="25"/>
      <c r="F34" s="1048" t="s">
        <v>434</v>
      </c>
      <c r="G34" s="1049"/>
      <c r="H34" s="1050"/>
      <c r="I34" s="25"/>
      <c r="J34" s="50" t="s">
        <v>435</v>
      </c>
      <c r="K34" s="50" t="s">
        <v>436</v>
      </c>
      <c r="L34" s="25"/>
      <c r="M34" s="1054" t="s">
        <v>437</v>
      </c>
      <c r="N34" s="1054"/>
      <c r="O34" s="25"/>
      <c r="P34" s="25"/>
      <c r="Q34" s="1052" t="s">
        <v>438</v>
      </c>
      <c r="R34" s="1052"/>
      <c r="S34" s="1052"/>
      <c r="T34" s="1052"/>
      <c r="U34" s="25"/>
      <c r="V34" s="25"/>
      <c r="W34" s="25"/>
      <c r="X34" s="25"/>
      <c r="Y34" s="25"/>
      <c r="Z34" s="25"/>
      <c r="AA34" s="25"/>
      <c r="AB34" s="25"/>
      <c r="AC34" s="25"/>
    </row>
    <row r="35" spans="1:29" x14ac:dyDescent="0.3">
      <c r="A35" s="25"/>
      <c r="B35" s="49" t="s">
        <v>83</v>
      </c>
      <c r="C35" s="50" t="s">
        <v>439</v>
      </c>
      <c r="D35" s="50" t="s">
        <v>440</v>
      </c>
      <c r="E35" s="25"/>
      <c r="F35" s="50" t="s">
        <v>439</v>
      </c>
      <c r="G35" s="49" t="s">
        <v>441</v>
      </c>
      <c r="H35" s="50" t="s">
        <v>442</v>
      </c>
      <c r="I35" s="25"/>
      <c r="J35" s="9" t="s">
        <v>200</v>
      </c>
      <c r="K35" s="7">
        <v>1</v>
      </c>
      <c r="L35" s="25"/>
      <c r="M35" s="50" t="s">
        <v>443</v>
      </c>
      <c r="N35" s="50" t="s">
        <v>442</v>
      </c>
      <c r="O35" s="25"/>
      <c r="P35" s="25"/>
      <c r="Q35" s="50" t="s">
        <v>444</v>
      </c>
      <c r="R35" s="50" t="s">
        <v>445</v>
      </c>
      <c r="S35" s="50" t="s">
        <v>446</v>
      </c>
      <c r="T35" s="50" t="s">
        <v>447</v>
      </c>
      <c r="U35" s="25"/>
      <c r="V35" s="25"/>
      <c r="W35" s="236" t="s">
        <v>448</v>
      </c>
      <c r="X35" s="237" t="s">
        <v>449</v>
      </c>
      <c r="Y35" s="25"/>
      <c r="Z35" s="25"/>
      <c r="AA35" s="25"/>
      <c r="AB35" s="25"/>
      <c r="AC35" s="25"/>
    </row>
    <row r="36" spans="1:29" ht="43.5" customHeight="1" x14ac:dyDescent="0.3">
      <c r="A36" s="25"/>
      <c r="B36" s="9" t="s">
        <v>319</v>
      </c>
      <c r="C36" s="9" t="s">
        <v>450</v>
      </c>
      <c r="D36" s="7">
        <v>1.1499999999999999</v>
      </c>
      <c r="E36" s="25"/>
      <c r="F36" s="9" t="s">
        <v>92</v>
      </c>
      <c r="G36" s="9" t="s">
        <v>451</v>
      </c>
      <c r="H36" s="7">
        <v>1.1499999999999999</v>
      </c>
      <c r="I36" s="25"/>
      <c r="J36" s="9" t="s">
        <v>202</v>
      </c>
      <c r="K36" s="7">
        <v>0.67</v>
      </c>
      <c r="L36" s="25"/>
      <c r="M36" s="15" t="s">
        <v>452</v>
      </c>
      <c r="N36" s="15">
        <v>1</v>
      </c>
      <c r="O36" s="25"/>
      <c r="P36" s="25"/>
      <c r="Q36" s="7" t="s">
        <v>453</v>
      </c>
      <c r="R36" s="7">
        <v>0.3</v>
      </c>
      <c r="S36" s="7">
        <f>R36*12</f>
        <v>3.5999999999999996</v>
      </c>
      <c r="T36" s="10">
        <f>3.14*(S36*S36)/10000</f>
        <v>4.0694399999999997E-3</v>
      </c>
      <c r="U36" s="25"/>
      <c r="V36" s="25"/>
      <c r="W36" s="17" t="s">
        <v>454</v>
      </c>
      <c r="X36" s="17" t="s">
        <v>455</v>
      </c>
      <c r="Y36" s="25"/>
      <c r="Z36" s="25"/>
      <c r="AA36" s="25"/>
      <c r="AB36" s="25"/>
      <c r="AC36" s="25"/>
    </row>
    <row r="37" spans="1:29" ht="55.5" customHeight="1" x14ac:dyDescent="0.3">
      <c r="A37" s="25"/>
      <c r="B37" s="9" t="s">
        <v>202</v>
      </c>
      <c r="C37" s="9" t="s">
        <v>456</v>
      </c>
      <c r="D37" s="7">
        <v>1.1000000000000001</v>
      </c>
      <c r="E37" s="25"/>
      <c r="F37" s="9" t="s">
        <v>112</v>
      </c>
      <c r="G37" s="9" t="s">
        <v>457</v>
      </c>
      <c r="H37" s="7">
        <v>1</v>
      </c>
      <c r="I37" s="25"/>
      <c r="J37" s="9" t="s">
        <v>319</v>
      </c>
      <c r="K37" s="7">
        <v>0.33</v>
      </c>
      <c r="L37" s="25"/>
      <c r="M37" s="15" t="s">
        <v>458</v>
      </c>
      <c r="N37" s="15">
        <v>0.75</v>
      </c>
      <c r="O37" s="25"/>
      <c r="P37" s="25"/>
      <c r="Q37" s="7" t="s">
        <v>202</v>
      </c>
      <c r="R37" s="7">
        <v>0.9</v>
      </c>
      <c r="S37" s="7">
        <f>R37*12</f>
        <v>10.8</v>
      </c>
      <c r="T37" s="10">
        <f>3.14*(S37*S37)/10000</f>
        <v>3.6624960000000005E-2</v>
      </c>
      <c r="U37" s="25"/>
      <c r="V37" s="25"/>
      <c r="W37" s="17" t="s">
        <v>459</v>
      </c>
      <c r="X37" s="17" t="s">
        <v>460</v>
      </c>
      <c r="Y37" s="25"/>
      <c r="Z37" s="25"/>
      <c r="AA37" s="25"/>
      <c r="AB37" s="25"/>
      <c r="AC37" s="25"/>
    </row>
    <row r="38" spans="1:29" ht="28.8" x14ac:dyDescent="0.3">
      <c r="A38" s="25"/>
      <c r="B38" s="16" t="s">
        <v>200</v>
      </c>
      <c r="C38" s="9" t="s">
        <v>461</v>
      </c>
      <c r="D38" s="7">
        <v>1</v>
      </c>
      <c r="E38" s="25"/>
      <c r="F38" s="9"/>
      <c r="G38" s="9"/>
      <c r="H38" s="7"/>
      <c r="I38" s="25"/>
      <c r="J38" s="9" t="s">
        <v>462</v>
      </c>
      <c r="K38" s="7">
        <v>0.1</v>
      </c>
      <c r="L38" s="25"/>
      <c r="M38" s="15" t="s">
        <v>463</v>
      </c>
      <c r="N38" s="15">
        <v>0.5</v>
      </c>
      <c r="O38" s="25"/>
      <c r="P38" s="25"/>
      <c r="Q38" s="7" t="s">
        <v>464</v>
      </c>
      <c r="R38" s="7">
        <v>1.3</v>
      </c>
      <c r="S38" s="7">
        <f>R38*12</f>
        <v>15.600000000000001</v>
      </c>
      <c r="T38" s="10">
        <f>3.14*(S38*S38)/10000</f>
        <v>7.6415040000000017E-2</v>
      </c>
      <c r="U38" s="25"/>
      <c r="V38" s="25"/>
      <c r="W38" s="17" t="s">
        <v>465</v>
      </c>
      <c r="X38" s="17" t="s">
        <v>466</v>
      </c>
      <c r="Y38" s="25"/>
      <c r="Z38" s="25"/>
      <c r="AA38" s="25"/>
      <c r="AB38" s="25"/>
      <c r="AC38" s="25"/>
    </row>
    <row r="39" spans="1:29" x14ac:dyDescent="0.3">
      <c r="A39" s="25"/>
      <c r="B39" s="16" t="s">
        <v>367</v>
      </c>
      <c r="C39" s="9" t="s">
        <v>467</v>
      </c>
      <c r="D39" s="7">
        <v>1</v>
      </c>
      <c r="E39" s="25"/>
      <c r="F39" s="25"/>
      <c r="G39" s="25"/>
      <c r="H39" s="25"/>
      <c r="I39" s="25"/>
      <c r="J39" s="25"/>
      <c r="K39" s="25"/>
      <c r="L39" s="25"/>
      <c r="M39" s="25"/>
      <c r="N39" s="25"/>
      <c r="O39" s="25"/>
      <c r="P39" s="25"/>
      <c r="Q39" s="25"/>
      <c r="R39" s="25"/>
      <c r="S39" s="25"/>
      <c r="T39" s="25"/>
      <c r="U39" s="25"/>
      <c r="V39" s="25"/>
      <c r="W39" s="17" t="s">
        <v>468</v>
      </c>
      <c r="X39" s="17" t="s">
        <v>469</v>
      </c>
      <c r="Y39" s="25"/>
      <c r="Z39" s="25"/>
      <c r="AA39" s="25"/>
      <c r="AB39" s="25"/>
      <c r="AC39" s="25"/>
    </row>
    <row r="40" spans="1:29" x14ac:dyDescent="0.3">
      <c r="A40" s="25"/>
      <c r="B40" s="25"/>
      <c r="C40" s="25"/>
      <c r="D40" s="25"/>
      <c r="E40" s="25"/>
      <c r="F40" s="25"/>
      <c r="G40" s="25"/>
      <c r="H40" s="25"/>
      <c r="I40" s="25"/>
      <c r="J40" s="25"/>
      <c r="K40" s="25"/>
      <c r="L40" s="25"/>
      <c r="M40" s="25"/>
      <c r="N40" s="25"/>
      <c r="O40" s="25"/>
      <c r="P40" s="25"/>
      <c r="Q40" s="25"/>
      <c r="R40" s="25"/>
      <c r="S40" s="25"/>
      <c r="T40" s="25"/>
      <c r="U40" s="25"/>
      <c r="V40" s="25"/>
      <c r="W40" s="17" t="s">
        <v>470</v>
      </c>
      <c r="X40" s="17" t="s">
        <v>471</v>
      </c>
      <c r="Y40" s="25"/>
      <c r="Z40" s="25"/>
      <c r="AA40" s="25"/>
      <c r="AB40" s="25"/>
      <c r="AC40" s="25"/>
    </row>
    <row r="41" spans="1:29" x14ac:dyDescent="0.3">
      <c r="A41" s="25"/>
      <c r="B41" s="25"/>
      <c r="C41" s="25"/>
      <c r="D41" s="25"/>
      <c r="E41" s="25"/>
      <c r="F41" s="25"/>
      <c r="G41" s="25"/>
      <c r="H41" s="25"/>
      <c r="I41" s="25"/>
      <c r="J41" s="25"/>
      <c r="K41" s="25"/>
      <c r="L41" s="25"/>
      <c r="M41" s="25"/>
      <c r="N41" s="25"/>
      <c r="O41" s="25"/>
      <c r="P41" s="25"/>
      <c r="Q41" s="25"/>
      <c r="R41" s="25"/>
      <c r="S41" s="25"/>
      <c r="T41" s="25"/>
      <c r="U41" s="25"/>
      <c r="V41" s="25"/>
      <c r="W41" s="17" t="s">
        <v>472</v>
      </c>
      <c r="X41" s="17" t="s">
        <v>494</v>
      </c>
      <c r="Y41" s="25"/>
      <c r="Z41" s="25"/>
      <c r="AA41" s="25"/>
      <c r="AB41" s="25"/>
      <c r="AC41" s="25"/>
    </row>
    <row r="42" spans="1:29" x14ac:dyDescent="0.3">
      <c r="A42" s="25"/>
      <c r="B42" s="25"/>
      <c r="C42" s="25"/>
      <c r="D42" s="25"/>
      <c r="E42" s="25"/>
      <c r="F42" s="25"/>
      <c r="G42" s="25"/>
      <c r="H42" s="25"/>
      <c r="I42" s="25"/>
      <c r="J42" s="25"/>
      <c r="K42" s="25"/>
      <c r="L42" s="25"/>
      <c r="M42" s="25"/>
      <c r="N42" s="25"/>
      <c r="O42" s="25"/>
      <c r="P42" s="25"/>
      <c r="Q42" s="25"/>
      <c r="R42" s="25"/>
      <c r="S42" s="25"/>
      <c r="T42" s="25"/>
      <c r="U42" s="25"/>
      <c r="V42" s="25"/>
      <c r="W42" s="17" t="s">
        <v>473</v>
      </c>
      <c r="X42" s="17"/>
      <c r="Y42" s="25"/>
      <c r="Z42" s="25"/>
      <c r="AA42" s="25"/>
      <c r="AB42" s="25"/>
      <c r="AC42" s="25"/>
    </row>
    <row r="43" spans="1:29" x14ac:dyDescent="0.3">
      <c r="A43" s="25"/>
      <c r="B43" s="25"/>
      <c r="C43" s="25"/>
      <c r="D43" s="25"/>
      <c r="E43" s="25"/>
      <c r="F43" s="25"/>
      <c r="G43" s="25"/>
      <c r="H43" s="25"/>
      <c r="I43" s="25"/>
      <c r="J43" s="25"/>
      <c r="K43" s="25"/>
      <c r="L43" s="25"/>
      <c r="M43" s="25"/>
      <c r="N43" s="25"/>
      <c r="O43" s="25"/>
      <c r="P43" s="25"/>
      <c r="Q43" s="25"/>
      <c r="R43" s="25"/>
      <c r="S43" s="25"/>
      <c r="T43" s="25"/>
      <c r="U43" s="25"/>
      <c r="V43" s="25"/>
      <c r="W43" s="17" t="s">
        <v>474</v>
      </c>
      <c r="X43" s="17"/>
      <c r="Y43" s="25"/>
      <c r="Z43" s="25"/>
      <c r="AA43" s="25"/>
      <c r="AB43" s="25"/>
      <c r="AC43" s="25"/>
    </row>
    <row r="44" spans="1:29" x14ac:dyDescent="0.3">
      <c r="A44" s="25"/>
      <c r="B44" s="25"/>
      <c r="C44" s="25"/>
      <c r="D44" s="25"/>
      <c r="E44" s="25"/>
      <c r="F44" s="25"/>
      <c r="G44" s="25"/>
      <c r="H44" s="25"/>
      <c r="I44" s="25"/>
      <c r="J44" s="25"/>
      <c r="K44" s="25"/>
      <c r="L44" s="25"/>
      <c r="M44" s="25"/>
      <c r="N44" s="25"/>
      <c r="O44" s="25"/>
      <c r="P44" s="25"/>
      <c r="Q44" s="25"/>
      <c r="R44" s="25"/>
      <c r="S44" s="25"/>
      <c r="T44" s="25"/>
      <c r="U44" s="25"/>
      <c r="V44" s="25"/>
      <c r="W44" s="17" t="s">
        <v>475</v>
      </c>
      <c r="X44" s="17"/>
      <c r="Y44" s="25"/>
      <c r="Z44" s="25"/>
      <c r="AA44" s="25"/>
      <c r="AB44" s="25"/>
      <c r="AC44" s="25"/>
    </row>
    <row r="45" spans="1:29" ht="28.5" customHeight="1" x14ac:dyDescent="0.55000000000000004">
      <c r="A45" s="25"/>
      <c r="B45" s="940" t="s">
        <v>476</v>
      </c>
      <c r="C45" s="1046"/>
      <c r="D45" s="1047"/>
      <c r="E45" s="25"/>
      <c r="F45" s="940" t="s">
        <v>477</v>
      </c>
      <c r="G45" s="1047"/>
      <c r="H45" s="25"/>
      <c r="I45" s="1053" t="s">
        <v>478</v>
      </c>
      <c r="J45" s="1053"/>
      <c r="K45" s="1053"/>
      <c r="L45" s="25"/>
      <c r="M45" s="1052" t="s">
        <v>90</v>
      </c>
      <c r="N45" s="1052"/>
      <c r="O45" s="1052"/>
      <c r="P45" s="1052"/>
      <c r="Q45" s="25"/>
      <c r="R45" s="25"/>
      <c r="S45" s="940" t="s">
        <v>479</v>
      </c>
      <c r="T45" s="1046"/>
      <c r="U45" s="1047"/>
      <c r="V45" s="25"/>
      <c r="W45" s="17" t="s">
        <v>480</v>
      </c>
      <c r="X45" s="17"/>
      <c r="Y45" s="25"/>
      <c r="Z45" s="25"/>
      <c r="AA45" s="25"/>
      <c r="AB45" s="25"/>
      <c r="AC45" s="25"/>
    </row>
    <row r="46" spans="1:29" ht="43.2" x14ac:dyDescent="0.3">
      <c r="A46" s="25"/>
      <c r="B46" s="49" t="s">
        <v>481</v>
      </c>
      <c r="C46" s="49" t="s">
        <v>482</v>
      </c>
      <c r="D46" s="49" t="s">
        <v>483</v>
      </c>
      <c r="E46" s="25"/>
      <c r="F46" s="49" t="s">
        <v>484</v>
      </c>
      <c r="G46" s="49" t="s">
        <v>485</v>
      </c>
      <c r="H46" s="25"/>
      <c r="I46" s="49" t="s">
        <v>486</v>
      </c>
      <c r="J46" s="49" t="s">
        <v>487</v>
      </c>
      <c r="K46" s="49" t="s">
        <v>488</v>
      </c>
      <c r="L46" s="25"/>
      <c r="M46" s="50" t="s">
        <v>444</v>
      </c>
      <c r="N46" s="50" t="s">
        <v>445</v>
      </c>
      <c r="O46" s="50" t="s">
        <v>446</v>
      </c>
      <c r="P46" s="50" t="s">
        <v>489</v>
      </c>
      <c r="Q46" s="25"/>
      <c r="R46" s="25"/>
      <c r="S46" s="49" t="s">
        <v>481</v>
      </c>
      <c r="T46" s="49" t="s">
        <v>482</v>
      </c>
      <c r="U46" s="49" t="s">
        <v>483</v>
      </c>
      <c r="V46" s="25"/>
      <c r="W46" s="17" t="s">
        <v>490</v>
      </c>
      <c r="X46" s="17"/>
      <c r="Y46" s="25"/>
      <c r="Z46" s="25"/>
      <c r="AA46" s="25"/>
      <c r="AB46" s="25"/>
      <c r="AC46" s="25"/>
    </row>
    <row r="47" spans="1:29" ht="57.6" x14ac:dyDescent="0.3">
      <c r="A47" s="25"/>
      <c r="B47" s="7" t="s">
        <v>202</v>
      </c>
      <c r="C47" s="7">
        <v>4</v>
      </c>
      <c r="D47" s="21" t="s">
        <v>293</v>
      </c>
      <c r="E47" s="25"/>
      <c r="F47" s="7" t="s">
        <v>383</v>
      </c>
      <c r="G47" s="7">
        <v>3</v>
      </c>
      <c r="H47" s="25"/>
      <c r="I47" s="23">
        <v>0</v>
      </c>
      <c r="J47" s="23">
        <v>100</v>
      </c>
      <c r="K47" s="24">
        <v>1</v>
      </c>
      <c r="L47" s="25"/>
      <c r="M47" s="7" t="s">
        <v>453</v>
      </c>
      <c r="N47" s="7">
        <v>0.3</v>
      </c>
      <c r="O47" s="7">
        <f>N47*12</f>
        <v>3.5999999999999996</v>
      </c>
      <c r="P47" s="10">
        <f>3.14*(O47*O47)</f>
        <v>40.694399999999995</v>
      </c>
      <c r="Q47" s="25"/>
      <c r="R47" s="25"/>
      <c r="S47" s="7" t="s">
        <v>202</v>
      </c>
      <c r="T47" s="7">
        <v>4</v>
      </c>
      <c r="U47" s="9" t="s">
        <v>293</v>
      </c>
      <c r="V47" s="25"/>
      <c r="W47" s="17" t="s">
        <v>491</v>
      </c>
      <c r="X47" s="17"/>
      <c r="Y47" s="25"/>
      <c r="Z47" s="25"/>
      <c r="AA47" s="25"/>
      <c r="AB47" s="25"/>
      <c r="AC47" s="25"/>
    </row>
    <row r="48" spans="1:29" ht="43.2" x14ac:dyDescent="0.3">
      <c r="A48" s="25"/>
      <c r="B48" s="7" t="s">
        <v>200</v>
      </c>
      <c r="C48" s="7">
        <v>2</v>
      </c>
      <c r="D48" s="21" t="s">
        <v>298</v>
      </c>
      <c r="E48" s="25"/>
      <c r="F48" s="7" t="s">
        <v>111</v>
      </c>
      <c r="G48" s="7">
        <v>2</v>
      </c>
      <c r="H48" s="25"/>
      <c r="I48" s="23">
        <v>1</v>
      </c>
      <c r="J48" s="23">
        <v>96.5</v>
      </c>
      <c r="K48" s="24">
        <v>0.96499999999999997</v>
      </c>
      <c r="L48" s="25"/>
      <c r="M48" s="7" t="s">
        <v>202</v>
      </c>
      <c r="N48" s="7">
        <v>0.6</v>
      </c>
      <c r="O48" s="7">
        <v>7.2</v>
      </c>
      <c r="P48" s="10">
        <f>3.14*(O48*O48)</f>
        <v>162.77760000000001</v>
      </c>
      <c r="Q48" s="25"/>
      <c r="R48" s="25"/>
      <c r="S48" s="7" t="s">
        <v>200</v>
      </c>
      <c r="T48" s="7">
        <v>2</v>
      </c>
      <c r="U48" s="9" t="s">
        <v>298</v>
      </c>
      <c r="V48" s="25"/>
      <c r="W48" s="17" t="s">
        <v>492</v>
      </c>
      <c r="X48" s="17"/>
      <c r="Y48" s="25"/>
      <c r="Z48" s="25"/>
      <c r="AA48" s="25"/>
      <c r="AB48" s="25"/>
      <c r="AC48" s="25"/>
    </row>
    <row r="49" spans="1:29" ht="28.8" x14ac:dyDescent="0.3">
      <c r="A49" s="25"/>
      <c r="B49" s="7" t="s">
        <v>327</v>
      </c>
      <c r="C49" s="7">
        <v>0</v>
      </c>
      <c r="D49" s="21" t="s">
        <v>328</v>
      </c>
      <c r="E49" s="25"/>
      <c r="F49" s="9" t="s">
        <v>384</v>
      </c>
      <c r="G49" s="7">
        <v>1</v>
      </c>
      <c r="H49" s="25"/>
      <c r="I49" s="23">
        <v>2</v>
      </c>
      <c r="J49" s="23">
        <v>93.122500000000002</v>
      </c>
      <c r="K49" s="24">
        <v>0.93122499999999997</v>
      </c>
      <c r="L49" s="25"/>
      <c r="M49" s="7" t="s">
        <v>464</v>
      </c>
      <c r="N49" s="7">
        <v>0.9</v>
      </c>
      <c r="O49" s="7">
        <v>10.8</v>
      </c>
      <c r="P49" s="10">
        <f>3.14*(O49*O49)</f>
        <v>366.24960000000004</v>
      </c>
      <c r="Q49" s="25"/>
      <c r="R49" s="25"/>
      <c r="S49" s="7" t="s">
        <v>327</v>
      </c>
      <c r="T49" s="7">
        <v>1</v>
      </c>
      <c r="U49" s="9" t="s">
        <v>328</v>
      </c>
      <c r="V49" s="25"/>
      <c r="W49" s="17" t="s">
        <v>493</v>
      </c>
      <c r="X49" s="17"/>
      <c r="Y49" s="25"/>
      <c r="Z49" s="25"/>
      <c r="AA49" s="25"/>
      <c r="AB49" s="25"/>
      <c r="AC49" s="25"/>
    </row>
    <row r="50" spans="1:29" ht="57.6" x14ac:dyDescent="0.3">
      <c r="A50" s="25"/>
      <c r="B50" s="7" t="s">
        <v>319</v>
      </c>
      <c r="C50" s="7">
        <v>6</v>
      </c>
      <c r="D50" s="21" t="s">
        <v>293</v>
      </c>
      <c r="E50" s="25"/>
      <c r="F50" s="9" t="s">
        <v>385</v>
      </c>
      <c r="G50" s="7">
        <v>1</v>
      </c>
      <c r="H50" s="25"/>
      <c r="I50" s="23">
        <v>3</v>
      </c>
      <c r="J50" s="23">
        <v>89.863212500000003</v>
      </c>
      <c r="K50" s="24">
        <v>0.898632125</v>
      </c>
      <c r="L50" s="25"/>
      <c r="M50" s="7" t="s">
        <v>495</v>
      </c>
      <c r="N50" s="7">
        <v>1.3</v>
      </c>
      <c r="O50" s="7">
        <v>15.6</v>
      </c>
      <c r="P50" s="10">
        <f>3.14*(O50*O50)</f>
        <v>764.15039999999999</v>
      </c>
      <c r="Q50" s="25"/>
      <c r="R50" s="25"/>
      <c r="S50" s="7" t="s">
        <v>319</v>
      </c>
      <c r="T50" s="7">
        <v>6</v>
      </c>
      <c r="U50" s="9" t="s">
        <v>293</v>
      </c>
      <c r="V50" s="25"/>
      <c r="W50" s="17" t="s">
        <v>496</v>
      </c>
      <c r="X50" s="17"/>
      <c r="Y50" s="25"/>
      <c r="Z50" s="25"/>
      <c r="AA50" s="25"/>
      <c r="AB50" s="25"/>
      <c r="AC50" s="25"/>
    </row>
    <row r="51" spans="1:29" x14ac:dyDescent="0.3">
      <c r="A51" s="25"/>
      <c r="B51" s="25"/>
      <c r="C51" s="25"/>
      <c r="D51" s="25"/>
      <c r="E51" s="25"/>
      <c r="F51" s="7" t="s">
        <v>386</v>
      </c>
      <c r="G51" s="7">
        <v>0</v>
      </c>
      <c r="H51" s="25"/>
      <c r="I51" s="23">
        <v>4</v>
      </c>
      <c r="J51" s="23">
        <v>86.718000059999994</v>
      </c>
      <c r="K51" s="24">
        <v>0.86718000059999989</v>
      </c>
      <c r="L51" s="25"/>
      <c r="M51" s="25"/>
      <c r="N51" s="25"/>
      <c r="O51" s="25"/>
      <c r="P51" s="25"/>
      <c r="Q51" s="25"/>
      <c r="R51" s="25"/>
      <c r="S51" s="25"/>
      <c r="T51" s="25"/>
      <c r="U51" s="25"/>
      <c r="V51" s="25"/>
      <c r="W51" s="17" t="s">
        <v>497</v>
      </c>
      <c r="X51" s="17"/>
      <c r="Y51" s="25"/>
      <c r="Z51" s="25"/>
      <c r="AA51" s="25"/>
      <c r="AB51" s="25"/>
      <c r="AC51" s="25"/>
    </row>
    <row r="52" spans="1:29" x14ac:dyDescent="0.3">
      <c r="A52" s="25"/>
      <c r="B52" s="25"/>
      <c r="C52" s="25"/>
      <c r="D52" s="25"/>
      <c r="E52" s="25"/>
      <c r="F52" s="25"/>
      <c r="G52" s="25"/>
      <c r="H52" s="25"/>
      <c r="I52" s="23">
        <v>5</v>
      </c>
      <c r="J52" s="23">
        <v>83.682870059999999</v>
      </c>
      <c r="K52" s="24">
        <v>0.83682870060000003</v>
      </c>
      <c r="L52" s="25"/>
      <c r="M52" s="25"/>
      <c r="N52" s="25"/>
      <c r="O52" s="25"/>
      <c r="P52" s="25"/>
      <c r="Q52" s="25"/>
      <c r="R52" s="25"/>
      <c r="S52" s="25"/>
      <c r="T52" s="25"/>
      <c r="U52" s="25"/>
      <c r="V52" s="25"/>
      <c r="W52" s="17" t="s">
        <v>498</v>
      </c>
      <c r="X52" s="17"/>
      <c r="Y52" s="25"/>
      <c r="Z52" s="25"/>
      <c r="AA52" s="25"/>
      <c r="AB52" s="25"/>
      <c r="AC52" s="25"/>
    </row>
    <row r="53" spans="1:29" x14ac:dyDescent="0.3">
      <c r="A53" s="25"/>
      <c r="B53" s="25"/>
      <c r="C53" s="25"/>
      <c r="D53" s="25"/>
      <c r="E53" s="25"/>
      <c r="F53" s="25"/>
      <c r="G53" s="25"/>
      <c r="H53" s="25"/>
      <c r="I53" s="23">
        <v>6</v>
      </c>
      <c r="J53" s="23">
        <v>80.753969609999999</v>
      </c>
      <c r="K53" s="24">
        <v>0.80753969609999998</v>
      </c>
      <c r="L53" s="25"/>
      <c r="M53" s="25"/>
      <c r="N53" s="25"/>
      <c r="O53" s="25"/>
      <c r="P53" s="25"/>
      <c r="Q53" s="25"/>
      <c r="R53" s="25"/>
      <c r="S53" s="25"/>
      <c r="T53" s="25"/>
      <c r="U53" s="25"/>
      <c r="V53" s="25"/>
      <c r="W53" s="17" t="s">
        <v>499</v>
      </c>
      <c r="X53" s="17"/>
      <c r="Y53" s="25"/>
      <c r="Z53" s="25"/>
      <c r="AA53" s="25"/>
      <c r="AB53" s="25"/>
      <c r="AC53" s="25"/>
    </row>
    <row r="54" spans="1:29" x14ac:dyDescent="0.3">
      <c r="A54" s="25"/>
      <c r="B54" s="25"/>
      <c r="C54" s="25"/>
      <c r="D54" s="25"/>
      <c r="E54" s="25"/>
      <c r="F54" s="25"/>
      <c r="G54" s="25"/>
      <c r="H54" s="25"/>
      <c r="I54" s="23">
        <v>7</v>
      </c>
      <c r="J54" s="23">
        <v>77.927580669999998</v>
      </c>
      <c r="K54" s="24">
        <v>0.77927580669999996</v>
      </c>
      <c r="L54" s="25"/>
      <c r="M54" s="25"/>
      <c r="N54" s="25"/>
      <c r="O54" s="25"/>
      <c r="P54" s="25"/>
      <c r="Q54" s="25"/>
      <c r="R54" s="25"/>
      <c r="S54" s="25"/>
      <c r="T54" s="25"/>
      <c r="U54" s="25"/>
      <c r="V54" s="25"/>
      <c r="W54" s="17" t="s">
        <v>500</v>
      </c>
      <c r="X54" s="17"/>
      <c r="Y54" s="25"/>
      <c r="Z54" s="25"/>
      <c r="AA54" s="25"/>
      <c r="AB54" s="25"/>
      <c r="AC54" s="25"/>
    </row>
    <row r="55" spans="1:29" ht="14.55" customHeight="1" x14ac:dyDescent="0.3">
      <c r="A55" s="25"/>
      <c r="B55" s="25"/>
      <c r="C55" s="25"/>
      <c r="D55" s="25"/>
      <c r="E55" s="25"/>
      <c r="F55" s="25"/>
      <c r="G55" s="25"/>
      <c r="H55" s="25"/>
      <c r="I55" s="23">
        <v>8</v>
      </c>
      <c r="J55" s="23">
        <v>75.200115350000004</v>
      </c>
      <c r="K55" s="24">
        <v>0.75200115350000007</v>
      </c>
      <c r="L55" s="25"/>
      <c r="M55" s="25"/>
      <c r="N55" s="25"/>
      <c r="O55" s="25"/>
      <c r="P55" s="25"/>
      <c r="Q55" s="25"/>
      <c r="R55" s="25"/>
      <c r="S55" s="25"/>
      <c r="T55" s="25"/>
      <c r="U55" s="25"/>
      <c r="V55" s="25"/>
      <c r="W55" s="17" t="s">
        <v>501</v>
      </c>
      <c r="X55" s="17"/>
      <c r="Y55" s="25"/>
      <c r="Z55" s="25"/>
      <c r="AA55" s="25"/>
      <c r="AB55" s="25"/>
      <c r="AC55" s="25"/>
    </row>
    <row r="56" spans="1:29" x14ac:dyDescent="0.3">
      <c r="A56" s="25"/>
      <c r="B56" s="25"/>
      <c r="C56" s="25"/>
      <c r="D56" s="25"/>
      <c r="E56" s="25"/>
      <c r="F56" s="25"/>
      <c r="G56" s="25"/>
      <c r="H56" s="25"/>
      <c r="I56" s="23">
        <v>9</v>
      </c>
      <c r="J56" s="23">
        <v>72.568111310000006</v>
      </c>
      <c r="K56" s="24">
        <v>0.72568111310000005</v>
      </c>
      <c r="L56" s="25"/>
      <c r="M56" s="25"/>
      <c r="N56" s="25"/>
      <c r="O56" s="25"/>
      <c r="P56" s="25"/>
      <c r="Q56" s="25"/>
      <c r="R56" s="25"/>
      <c r="S56" s="25"/>
      <c r="T56" s="25"/>
      <c r="U56" s="25"/>
      <c r="V56" s="25"/>
      <c r="W56" s="17" t="s">
        <v>502</v>
      </c>
      <c r="X56" s="17"/>
      <c r="Y56" s="25"/>
      <c r="Z56" s="25"/>
      <c r="AA56" s="25"/>
      <c r="AB56" s="25"/>
      <c r="AC56" s="25"/>
    </row>
    <row r="57" spans="1:29" x14ac:dyDescent="0.3">
      <c r="A57" s="25"/>
      <c r="B57" s="25"/>
      <c r="C57" s="25"/>
      <c r="D57" s="25"/>
      <c r="E57" s="25"/>
      <c r="F57" s="25"/>
      <c r="G57" s="25"/>
      <c r="H57" s="25"/>
      <c r="I57" s="23">
        <v>10</v>
      </c>
      <c r="J57" s="23">
        <v>70.028227419999993</v>
      </c>
      <c r="K57" s="24">
        <v>0.70028227419999989</v>
      </c>
      <c r="L57" s="25"/>
      <c r="M57" s="25"/>
      <c r="N57" s="25"/>
      <c r="O57" s="25"/>
      <c r="P57" s="25"/>
      <c r="Q57" s="25"/>
      <c r="R57" s="25"/>
      <c r="S57" s="25"/>
      <c r="T57" s="25"/>
      <c r="U57" s="25"/>
      <c r="V57" s="25"/>
      <c r="W57" s="17" t="s">
        <v>503</v>
      </c>
      <c r="X57" s="17"/>
      <c r="Y57" s="25"/>
      <c r="Z57" s="25"/>
      <c r="AA57" s="25"/>
      <c r="AB57" s="25"/>
      <c r="AC57" s="25"/>
    </row>
    <row r="58" spans="1:29" x14ac:dyDescent="0.3">
      <c r="A58" s="25"/>
      <c r="B58" s="25"/>
      <c r="C58" s="25"/>
      <c r="D58" s="25"/>
      <c r="E58" s="25"/>
      <c r="F58" s="25"/>
      <c r="G58" s="25"/>
      <c r="H58" s="25"/>
      <c r="I58" s="23">
        <v>11</v>
      </c>
      <c r="J58" s="23">
        <v>67.577239460000001</v>
      </c>
      <c r="K58" s="24">
        <v>0.67577239460000005</v>
      </c>
      <c r="L58" s="25"/>
      <c r="M58" s="25"/>
      <c r="N58" s="25"/>
      <c r="O58" s="25"/>
      <c r="P58" s="25"/>
      <c r="Q58" s="25"/>
      <c r="R58" s="25"/>
      <c r="S58" s="25"/>
      <c r="T58" s="25"/>
      <c r="U58" s="25"/>
      <c r="V58" s="25"/>
      <c r="W58" s="17" t="s">
        <v>504</v>
      </c>
      <c r="X58" s="17"/>
      <c r="Y58" s="25"/>
      <c r="Z58" s="25"/>
      <c r="AA58" s="25"/>
      <c r="AB58" s="25"/>
      <c r="AC58" s="25"/>
    </row>
    <row r="59" spans="1:29" x14ac:dyDescent="0.3">
      <c r="A59" s="25"/>
      <c r="B59" s="25"/>
      <c r="C59" s="25"/>
      <c r="D59" s="25"/>
      <c r="E59" s="25"/>
      <c r="F59" s="25"/>
      <c r="G59" s="25"/>
      <c r="H59" s="25"/>
      <c r="I59" s="23">
        <v>12</v>
      </c>
      <c r="J59" s="23">
        <v>65.212036069999996</v>
      </c>
      <c r="K59" s="24">
        <v>0.65212036070000001</v>
      </c>
      <c r="L59" s="25"/>
      <c r="M59" s="25"/>
      <c r="N59" s="25"/>
      <c r="O59" s="25"/>
      <c r="P59" s="25"/>
      <c r="Q59" s="25"/>
      <c r="R59" s="25"/>
      <c r="S59" s="25"/>
      <c r="T59" s="25"/>
      <c r="U59" s="25"/>
      <c r="V59" s="25"/>
      <c r="W59" s="17" t="s">
        <v>505</v>
      </c>
      <c r="X59" s="17"/>
      <c r="Y59" s="25"/>
      <c r="Z59" s="25"/>
      <c r="AA59" s="25"/>
      <c r="AB59" s="25"/>
      <c r="AC59" s="25"/>
    </row>
    <row r="60" spans="1:29" x14ac:dyDescent="0.3">
      <c r="A60" s="25"/>
      <c r="B60" s="25"/>
      <c r="C60" s="25"/>
      <c r="D60" s="25"/>
      <c r="E60" s="25"/>
      <c r="F60" s="25"/>
      <c r="G60" s="25"/>
      <c r="H60" s="25"/>
      <c r="I60" s="23">
        <v>13</v>
      </c>
      <c r="J60" s="23">
        <v>62.929614809999997</v>
      </c>
      <c r="K60" s="24">
        <v>0.62929614810000001</v>
      </c>
      <c r="L60" s="25"/>
      <c r="M60" s="25"/>
      <c r="N60" s="25"/>
      <c r="O60" s="25"/>
      <c r="P60" s="25"/>
      <c r="Q60" s="25"/>
      <c r="R60" s="25"/>
      <c r="S60" s="25"/>
      <c r="T60" s="25"/>
      <c r="U60" s="25"/>
      <c r="V60" s="25"/>
      <c r="W60" s="17" t="s">
        <v>506</v>
      </c>
      <c r="X60" s="17"/>
      <c r="Y60" s="25"/>
      <c r="Z60" s="25"/>
      <c r="AA60" s="25"/>
      <c r="AB60" s="25"/>
      <c r="AC60" s="25"/>
    </row>
    <row r="61" spans="1:29" x14ac:dyDescent="0.3">
      <c r="A61" s="25"/>
      <c r="B61" s="25"/>
      <c r="C61" s="25"/>
      <c r="D61" s="25"/>
      <c r="E61" s="25"/>
      <c r="F61" s="25"/>
      <c r="G61" s="25"/>
      <c r="H61" s="25"/>
      <c r="I61" s="23">
        <v>14</v>
      </c>
      <c r="J61" s="23">
        <v>60.727078290000001</v>
      </c>
      <c r="K61" s="24">
        <v>0.60727078290000003</v>
      </c>
      <c r="L61" s="25"/>
      <c r="M61" s="25"/>
      <c r="N61" s="25"/>
      <c r="O61" s="25"/>
      <c r="P61" s="25"/>
      <c r="Q61" s="25"/>
      <c r="R61" s="25"/>
      <c r="S61" s="25"/>
      <c r="T61" s="25"/>
      <c r="U61" s="25"/>
      <c r="V61" s="25"/>
      <c r="W61" s="17" t="s">
        <v>507</v>
      </c>
      <c r="X61" s="17"/>
      <c r="Y61" s="25"/>
      <c r="Z61" s="25"/>
      <c r="AA61" s="25"/>
      <c r="AB61" s="25"/>
      <c r="AC61" s="25"/>
    </row>
    <row r="62" spans="1:29" x14ac:dyDescent="0.3">
      <c r="A62" s="25"/>
      <c r="B62" s="25"/>
      <c r="C62" s="25"/>
      <c r="D62" s="25"/>
      <c r="E62" s="25"/>
      <c r="F62" s="25"/>
      <c r="G62" s="25"/>
      <c r="H62" s="25"/>
      <c r="I62" s="23">
        <v>15</v>
      </c>
      <c r="J62" s="23">
        <v>58.601630550000003</v>
      </c>
      <c r="K62" s="24">
        <v>0.58601630550000006</v>
      </c>
      <c r="L62" s="25"/>
      <c r="M62" s="25"/>
      <c r="N62" s="25"/>
      <c r="O62" s="25"/>
      <c r="P62" s="25"/>
      <c r="Q62" s="25"/>
      <c r="R62" s="25"/>
      <c r="S62" s="25"/>
      <c r="T62" s="25"/>
      <c r="U62" s="25"/>
      <c r="V62" s="25"/>
      <c r="W62" s="17" t="s">
        <v>508</v>
      </c>
      <c r="X62" s="17"/>
      <c r="Y62" s="25"/>
      <c r="Z62" s="25"/>
      <c r="AA62" s="25"/>
      <c r="AB62" s="25"/>
      <c r="AC62" s="25"/>
    </row>
    <row r="63" spans="1:29" x14ac:dyDescent="0.3">
      <c r="A63" s="25"/>
      <c r="B63" s="25"/>
      <c r="C63" s="25"/>
      <c r="D63" s="25"/>
      <c r="E63" s="25"/>
      <c r="F63" s="25"/>
      <c r="G63" s="25"/>
      <c r="H63" s="25"/>
      <c r="I63" s="23">
        <v>16</v>
      </c>
      <c r="J63" s="23">
        <v>56.550573479999997</v>
      </c>
      <c r="K63" s="24">
        <v>0.56550573479999999</v>
      </c>
      <c r="L63" s="25"/>
      <c r="M63" s="25"/>
      <c r="N63" s="25"/>
      <c r="O63" s="25"/>
      <c r="P63" s="25"/>
      <c r="Q63" s="25"/>
      <c r="R63" s="25"/>
      <c r="S63" s="25"/>
      <c r="T63" s="25"/>
      <c r="U63" s="25"/>
      <c r="V63" s="25"/>
      <c r="W63" s="17" t="s">
        <v>509</v>
      </c>
      <c r="X63" s="17"/>
      <c r="Y63" s="25"/>
      <c r="Z63" s="25"/>
      <c r="AA63" s="25"/>
      <c r="AB63" s="25"/>
      <c r="AC63" s="25"/>
    </row>
    <row r="64" spans="1:29" x14ac:dyDescent="0.3">
      <c r="A64" s="25"/>
      <c r="B64" s="25"/>
      <c r="C64" s="25"/>
      <c r="D64" s="25"/>
      <c r="E64" s="25"/>
      <c r="F64" s="25"/>
      <c r="G64" s="25"/>
      <c r="H64" s="25"/>
      <c r="I64" s="23">
        <v>17</v>
      </c>
      <c r="J64" s="23">
        <v>54.571303409999999</v>
      </c>
      <c r="K64" s="24">
        <v>0.54571303409999994</v>
      </c>
      <c r="L64" s="25"/>
      <c r="M64" s="25"/>
      <c r="N64" s="25"/>
      <c r="O64" s="25"/>
      <c r="P64" s="25"/>
      <c r="Q64" s="25"/>
      <c r="R64" s="25"/>
      <c r="S64" s="25"/>
      <c r="T64" s="25"/>
      <c r="U64" s="25"/>
      <c r="V64" s="25"/>
      <c r="W64" s="17" t="s">
        <v>510</v>
      </c>
      <c r="X64" s="17"/>
      <c r="Y64" s="25"/>
      <c r="Z64" s="25"/>
      <c r="AA64" s="25"/>
      <c r="AB64" s="25"/>
      <c r="AC64" s="25"/>
    </row>
    <row r="65" spans="1:29" x14ac:dyDescent="0.3">
      <c r="A65" s="25"/>
      <c r="B65" s="25"/>
      <c r="C65" s="25"/>
      <c r="D65" s="25"/>
      <c r="E65" s="25"/>
      <c r="F65" s="25"/>
      <c r="G65" s="25"/>
      <c r="H65" s="25"/>
      <c r="I65" s="23">
        <v>18</v>
      </c>
      <c r="J65" s="23">
        <v>52.661307790000002</v>
      </c>
      <c r="K65" s="24">
        <v>0.5266130779</v>
      </c>
      <c r="L65" s="25"/>
      <c r="M65" s="25"/>
      <c r="N65" s="25"/>
      <c r="O65" s="25"/>
      <c r="P65" s="25"/>
      <c r="Q65" s="25"/>
      <c r="R65" s="25"/>
      <c r="S65" s="25"/>
      <c r="T65" s="25"/>
      <c r="U65" s="25"/>
      <c r="V65" s="25"/>
      <c r="W65" s="17" t="s">
        <v>511</v>
      </c>
      <c r="X65" s="17"/>
      <c r="Y65" s="25"/>
      <c r="Z65" s="25"/>
      <c r="AA65" s="25"/>
      <c r="AB65" s="25"/>
      <c r="AC65" s="25"/>
    </row>
    <row r="66" spans="1:29" x14ac:dyDescent="0.3">
      <c r="A66" s="25"/>
      <c r="B66" s="25"/>
      <c r="C66" s="25"/>
      <c r="D66" s="25"/>
      <c r="E66" s="25"/>
      <c r="F66" s="25"/>
      <c r="G66" s="25"/>
      <c r="H66" s="25"/>
      <c r="I66" s="23">
        <v>19</v>
      </c>
      <c r="J66" s="23">
        <v>50.818162020000003</v>
      </c>
      <c r="K66" s="24">
        <v>0.50818162020000002</v>
      </c>
      <c r="L66" s="25"/>
      <c r="M66" s="25"/>
      <c r="N66" s="25"/>
      <c r="O66" s="25"/>
      <c r="P66" s="25"/>
      <c r="Q66" s="25"/>
      <c r="R66" s="25"/>
      <c r="S66" s="25"/>
      <c r="T66" s="25"/>
      <c r="U66" s="25"/>
      <c r="V66" s="25"/>
      <c r="W66" s="17" t="s">
        <v>512</v>
      </c>
      <c r="X66" s="17"/>
      <c r="Y66" s="25"/>
      <c r="Z66" s="25"/>
      <c r="AA66" s="25"/>
      <c r="AB66" s="25"/>
      <c r="AC66" s="25"/>
    </row>
    <row r="67" spans="1:29" x14ac:dyDescent="0.3">
      <c r="A67" s="25"/>
      <c r="B67" s="25"/>
      <c r="C67" s="25"/>
      <c r="D67" s="25"/>
      <c r="E67" s="25"/>
      <c r="F67" s="25"/>
      <c r="G67" s="25"/>
      <c r="H67" s="25"/>
      <c r="I67" s="23">
        <v>20</v>
      </c>
      <c r="J67" s="23">
        <v>49.039526350000003</v>
      </c>
      <c r="K67" s="24">
        <v>0.49039526350000001</v>
      </c>
      <c r="L67" s="25"/>
      <c r="M67" s="25"/>
      <c r="N67" s="25"/>
      <c r="O67" s="25"/>
      <c r="P67" s="25"/>
      <c r="Q67" s="25"/>
      <c r="R67" s="25"/>
      <c r="S67" s="25"/>
      <c r="T67" s="25"/>
      <c r="U67" s="25"/>
      <c r="V67" s="25"/>
      <c r="W67" s="17" t="s">
        <v>513</v>
      </c>
      <c r="X67" s="17"/>
      <c r="Y67" s="25"/>
      <c r="Z67" s="25"/>
      <c r="AA67" s="25"/>
      <c r="AB67" s="25"/>
      <c r="AC67" s="25"/>
    </row>
    <row r="68" spans="1:29" x14ac:dyDescent="0.3">
      <c r="A68" s="25"/>
      <c r="B68" s="25"/>
      <c r="C68" s="25"/>
      <c r="D68" s="25"/>
      <c r="E68" s="25"/>
      <c r="F68" s="25"/>
      <c r="G68" s="25"/>
      <c r="H68" s="25"/>
      <c r="I68" s="23">
        <v>21</v>
      </c>
      <c r="J68" s="23">
        <v>47.323142930000003</v>
      </c>
      <c r="K68" s="24">
        <v>0.47323142930000001</v>
      </c>
      <c r="L68" s="25"/>
      <c r="M68" s="25"/>
      <c r="N68" s="25"/>
      <c r="O68" s="25"/>
      <c r="P68" s="25"/>
      <c r="Q68" s="25"/>
      <c r="R68" s="25"/>
      <c r="S68" s="25"/>
      <c r="T68" s="25"/>
      <c r="U68" s="25"/>
      <c r="V68" s="25"/>
      <c r="W68" s="17" t="s">
        <v>514</v>
      </c>
      <c r="X68" s="17"/>
      <c r="Y68" s="25"/>
      <c r="Z68" s="25"/>
      <c r="AA68" s="25"/>
      <c r="AB68" s="25"/>
      <c r="AC68" s="25"/>
    </row>
    <row r="69" spans="1:29" x14ac:dyDescent="0.3">
      <c r="A69" s="25"/>
      <c r="B69" s="25"/>
      <c r="C69" s="25"/>
      <c r="D69" s="25"/>
      <c r="E69" s="25"/>
      <c r="F69" s="25"/>
      <c r="G69" s="25"/>
      <c r="H69" s="25"/>
      <c r="I69" s="23">
        <v>22</v>
      </c>
      <c r="J69" s="23">
        <v>45.666832919999997</v>
      </c>
      <c r="K69" s="24">
        <v>0.4566683292</v>
      </c>
      <c r="L69" s="25"/>
      <c r="M69" s="25"/>
      <c r="N69" s="25"/>
      <c r="O69" s="25"/>
      <c r="P69" s="25"/>
      <c r="Q69" s="25"/>
      <c r="R69" s="25"/>
      <c r="S69" s="25"/>
      <c r="T69" s="25"/>
      <c r="U69" s="25"/>
      <c r="V69" s="25"/>
      <c r="W69" s="17" t="s">
        <v>515</v>
      </c>
      <c r="X69" s="17"/>
      <c r="Y69" s="25"/>
      <c r="Z69" s="25"/>
      <c r="AA69" s="25"/>
      <c r="AB69" s="25"/>
      <c r="AC69" s="25"/>
    </row>
    <row r="70" spans="1:29" x14ac:dyDescent="0.3">
      <c r="A70" s="25"/>
      <c r="B70" s="25"/>
      <c r="C70" s="25"/>
      <c r="D70" s="25"/>
      <c r="E70" s="25"/>
      <c r="F70" s="25"/>
      <c r="G70" s="25"/>
      <c r="H70" s="25"/>
      <c r="I70" s="23">
        <v>23</v>
      </c>
      <c r="J70" s="23">
        <v>44.068493770000003</v>
      </c>
      <c r="K70" s="24">
        <v>0.44068493770000006</v>
      </c>
      <c r="L70" s="25"/>
      <c r="M70" s="25"/>
      <c r="N70" s="25"/>
      <c r="O70" s="25"/>
      <c r="P70" s="25"/>
      <c r="Q70" s="25"/>
      <c r="R70" s="25"/>
      <c r="S70" s="25"/>
      <c r="T70" s="25"/>
      <c r="U70" s="25"/>
      <c r="V70" s="25"/>
      <c r="W70" s="17" t="s">
        <v>516</v>
      </c>
      <c r="X70" s="17"/>
      <c r="Y70" s="25"/>
      <c r="Z70" s="25"/>
      <c r="AA70" s="25"/>
      <c r="AB70" s="25"/>
      <c r="AC70" s="25"/>
    </row>
    <row r="71" spans="1:29" x14ac:dyDescent="0.3">
      <c r="A71" s="25"/>
      <c r="B71" s="25"/>
      <c r="C71" s="25"/>
      <c r="D71" s="25"/>
      <c r="E71" s="25"/>
      <c r="F71" s="25"/>
      <c r="G71" s="25"/>
      <c r="H71" s="25"/>
      <c r="I71" s="23">
        <v>24</v>
      </c>
      <c r="J71" s="23">
        <v>42.52609649</v>
      </c>
      <c r="K71" s="24">
        <v>0.42526096489999998</v>
      </c>
      <c r="L71" s="25"/>
      <c r="M71" s="25"/>
      <c r="N71" s="25"/>
      <c r="O71" s="25"/>
      <c r="P71" s="25"/>
      <c r="Q71" s="25"/>
      <c r="R71" s="25"/>
      <c r="S71" s="25"/>
      <c r="T71" s="25"/>
      <c r="U71" s="25"/>
      <c r="V71" s="25"/>
      <c r="W71" s="17" t="s">
        <v>517</v>
      </c>
      <c r="X71" s="17"/>
      <c r="Y71" s="25"/>
      <c r="Z71" s="25"/>
      <c r="AA71" s="25"/>
      <c r="AB71" s="25"/>
      <c r="AC71" s="25"/>
    </row>
    <row r="72" spans="1:29" x14ac:dyDescent="0.3">
      <c r="A72" s="25"/>
      <c r="B72" s="25"/>
      <c r="C72" s="25"/>
      <c r="D72" s="25"/>
      <c r="E72" s="25"/>
      <c r="F72" s="25"/>
      <c r="G72" s="25"/>
      <c r="H72" s="25"/>
      <c r="I72" s="23">
        <v>25</v>
      </c>
      <c r="J72" s="23">
        <v>41.037683110000003</v>
      </c>
      <c r="K72" s="24">
        <v>0.41037683110000001</v>
      </c>
      <c r="L72" s="25"/>
      <c r="M72" s="25"/>
      <c r="N72" s="25"/>
      <c r="O72" s="25"/>
      <c r="P72" s="25"/>
      <c r="Q72" s="25"/>
      <c r="R72" s="25"/>
      <c r="S72" s="25"/>
      <c r="T72" s="25"/>
      <c r="U72" s="25"/>
      <c r="V72" s="25"/>
      <c r="W72" s="17" t="s">
        <v>518</v>
      </c>
      <c r="X72" s="17"/>
      <c r="Y72" s="25"/>
      <c r="Z72" s="25"/>
      <c r="AA72" s="25"/>
      <c r="AB72" s="25"/>
      <c r="AC72" s="25"/>
    </row>
    <row r="73" spans="1:29" x14ac:dyDescent="0.3">
      <c r="A73" s="25"/>
      <c r="B73" s="25"/>
      <c r="C73" s="25"/>
      <c r="D73" s="25"/>
      <c r="E73" s="25"/>
      <c r="F73" s="25"/>
      <c r="G73" s="25"/>
      <c r="H73" s="25"/>
      <c r="I73" s="23">
        <v>26</v>
      </c>
      <c r="J73" s="23">
        <v>39.601364199999999</v>
      </c>
      <c r="K73" s="24">
        <v>0.396013642</v>
      </c>
      <c r="L73" s="25"/>
      <c r="M73" s="25"/>
      <c r="N73" s="25"/>
      <c r="O73" s="25"/>
      <c r="P73" s="25"/>
      <c r="Q73" s="25"/>
      <c r="R73" s="25"/>
      <c r="S73" s="25"/>
      <c r="T73" s="25"/>
      <c r="U73" s="25"/>
      <c r="V73" s="25"/>
      <c r="W73" s="17" t="s">
        <v>519</v>
      </c>
      <c r="X73" s="17"/>
      <c r="Y73" s="25"/>
      <c r="Z73" s="25"/>
      <c r="AA73" s="25"/>
      <c r="AB73" s="25"/>
      <c r="AC73" s="25"/>
    </row>
    <row r="74" spans="1:29" x14ac:dyDescent="0.3">
      <c r="A74" s="25"/>
      <c r="B74" s="25"/>
      <c r="C74" s="25"/>
      <c r="D74" s="25"/>
      <c r="E74" s="25"/>
      <c r="F74" s="25"/>
      <c r="G74" s="25"/>
      <c r="H74" s="25"/>
      <c r="I74" s="23">
        <v>27</v>
      </c>
      <c r="J74" s="23">
        <v>38.215316459999997</v>
      </c>
      <c r="K74" s="24">
        <v>0.38215316459999998</v>
      </c>
      <c r="L74" s="25"/>
      <c r="M74" s="25"/>
      <c r="N74" s="25"/>
      <c r="O74" s="25"/>
      <c r="P74" s="25"/>
      <c r="Q74" s="25"/>
      <c r="R74" s="25"/>
      <c r="S74" s="25"/>
      <c r="T74" s="25"/>
      <c r="U74" s="25"/>
      <c r="V74" s="25"/>
      <c r="W74" s="17" t="s">
        <v>520</v>
      </c>
      <c r="X74" s="17"/>
      <c r="Y74" s="25"/>
      <c r="Z74" s="25"/>
      <c r="AA74" s="25"/>
      <c r="AB74" s="25"/>
      <c r="AC74" s="25"/>
    </row>
    <row r="75" spans="1:29" x14ac:dyDescent="0.3">
      <c r="A75" s="25"/>
      <c r="B75" s="25"/>
      <c r="C75" s="25"/>
      <c r="D75" s="25"/>
      <c r="E75" s="25"/>
      <c r="F75" s="25"/>
      <c r="G75" s="25"/>
      <c r="H75" s="25"/>
      <c r="I75" s="23">
        <v>28</v>
      </c>
      <c r="J75" s="23">
        <v>36.877780379999997</v>
      </c>
      <c r="K75" s="24">
        <v>0.36877780379999997</v>
      </c>
      <c r="L75" s="25"/>
      <c r="M75" s="25"/>
      <c r="N75" s="25"/>
      <c r="O75" s="25"/>
      <c r="P75" s="25"/>
      <c r="Q75" s="25"/>
      <c r="R75" s="25"/>
      <c r="S75" s="25"/>
      <c r="T75" s="25"/>
      <c r="U75" s="25"/>
      <c r="V75" s="25"/>
      <c r="W75" s="17" t="s">
        <v>521</v>
      </c>
      <c r="X75" s="17"/>
      <c r="Y75" s="25"/>
      <c r="Z75" s="25"/>
      <c r="AA75" s="25"/>
      <c r="AB75" s="25"/>
      <c r="AC75" s="25"/>
    </row>
    <row r="76" spans="1:29" x14ac:dyDescent="0.3">
      <c r="A76" s="25"/>
      <c r="B76" s="25"/>
      <c r="C76" s="25"/>
      <c r="D76" s="25"/>
      <c r="E76" s="25"/>
      <c r="F76" s="25"/>
      <c r="G76" s="25"/>
      <c r="H76" s="25"/>
      <c r="I76" s="23">
        <v>29</v>
      </c>
      <c r="J76" s="23">
        <v>35.587058069999998</v>
      </c>
      <c r="K76" s="24">
        <v>0.35587058069999999</v>
      </c>
      <c r="L76" s="25"/>
      <c r="M76" s="25"/>
      <c r="N76" s="25"/>
      <c r="O76" s="25"/>
      <c r="P76" s="25"/>
      <c r="Q76" s="25"/>
      <c r="R76" s="25"/>
      <c r="S76" s="25"/>
      <c r="T76" s="25"/>
      <c r="U76" s="25"/>
      <c r="V76" s="25"/>
      <c r="W76" s="17" t="s">
        <v>522</v>
      </c>
      <c r="X76" s="17"/>
      <c r="Y76" s="25"/>
      <c r="Z76" s="25"/>
      <c r="AA76" s="25"/>
      <c r="AB76" s="25"/>
      <c r="AC76" s="25"/>
    </row>
    <row r="77" spans="1:29" x14ac:dyDescent="0.3">
      <c r="A77" s="25"/>
      <c r="B77" s="25"/>
      <c r="C77" s="25"/>
      <c r="D77" s="25"/>
      <c r="E77" s="25"/>
      <c r="F77" s="25"/>
      <c r="G77" s="25"/>
      <c r="H77" s="25"/>
      <c r="I77" s="23">
        <v>30</v>
      </c>
      <c r="J77" s="23">
        <v>34.34151104</v>
      </c>
      <c r="K77" s="24">
        <v>0.3434151104</v>
      </c>
      <c r="L77" s="25"/>
      <c r="M77" s="25"/>
      <c r="N77" s="25"/>
      <c r="O77" s="25"/>
      <c r="P77" s="25"/>
      <c r="Q77" s="25"/>
      <c r="R77" s="25"/>
      <c r="S77" s="25"/>
      <c r="T77" s="25"/>
      <c r="U77" s="25"/>
      <c r="V77" s="25"/>
      <c r="W77" s="17" t="s">
        <v>523</v>
      </c>
      <c r="X77" s="17"/>
      <c r="Y77" s="25"/>
      <c r="Z77" s="25"/>
      <c r="AA77" s="25"/>
      <c r="AB77" s="25"/>
      <c r="AC77" s="25"/>
    </row>
    <row r="78" spans="1:29" x14ac:dyDescent="0.3">
      <c r="A78" s="25"/>
      <c r="B78" s="25"/>
      <c r="C78" s="25"/>
      <c r="D78" s="25"/>
      <c r="E78" s="25"/>
      <c r="F78" s="25"/>
      <c r="G78" s="25"/>
      <c r="H78" s="25"/>
      <c r="I78" s="23">
        <v>31</v>
      </c>
      <c r="J78" s="23">
        <v>33.139558149999999</v>
      </c>
      <c r="K78" s="24">
        <v>0.33139558149999998</v>
      </c>
      <c r="L78" s="25"/>
      <c r="M78" s="25"/>
      <c r="N78" s="25"/>
      <c r="O78" s="25"/>
      <c r="P78" s="25"/>
      <c r="Q78" s="25"/>
      <c r="R78" s="25"/>
      <c r="S78" s="25"/>
      <c r="T78" s="25"/>
      <c r="U78" s="25"/>
      <c r="V78" s="25"/>
      <c r="W78" s="17" t="s">
        <v>524</v>
      </c>
      <c r="X78" s="17"/>
      <c r="Y78" s="25"/>
      <c r="Z78" s="25"/>
      <c r="AA78" s="25"/>
      <c r="AB78" s="25"/>
      <c r="AC78" s="25"/>
    </row>
    <row r="79" spans="1:29" x14ac:dyDescent="0.3">
      <c r="A79" s="25"/>
      <c r="B79" s="25"/>
      <c r="C79" s="25"/>
      <c r="D79" s="25"/>
      <c r="E79" s="25"/>
      <c r="F79" s="25"/>
      <c r="G79" s="25"/>
      <c r="H79" s="25"/>
      <c r="I79" s="23" t="s">
        <v>405</v>
      </c>
      <c r="J79" s="19">
        <v>31.979673609999999</v>
      </c>
      <c r="K79" s="24">
        <v>0.31979673609999998</v>
      </c>
      <c r="L79" s="25"/>
      <c r="M79" s="25"/>
      <c r="N79" s="25"/>
      <c r="O79" s="25"/>
      <c r="P79" s="25"/>
      <c r="Q79" s="25"/>
      <c r="R79" s="25"/>
      <c r="S79" s="25"/>
      <c r="T79" s="25"/>
      <c r="U79" s="25"/>
      <c r="V79" s="25"/>
      <c r="W79" s="17" t="s">
        <v>525</v>
      </c>
      <c r="X79" s="17"/>
      <c r="Y79" s="25"/>
      <c r="Z79" s="25"/>
      <c r="AA79" s="25"/>
      <c r="AB79" s="25"/>
      <c r="AC79" s="25"/>
    </row>
    <row r="80" spans="1:29" x14ac:dyDescent="0.3">
      <c r="A80" s="25"/>
      <c r="B80" s="25"/>
      <c r="C80" s="25"/>
      <c r="D80" s="25"/>
      <c r="E80" s="25"/>
      <c r="F80" s="25"/>
      <c r="G80" s="25"/>
      <c r="H80" s="25"/>
      <c r="I80" s="9" t="s">
        <v>388</v>
      </c>
      <c r="J80" s="9" t="s">
        <v>367</v>
      </c>
      <c r="K80" s="9" t="s">
        <v>367</v>
      </c>
      <c r="L80" s="25"/>
      <c r="M80" s="25"/>
      <c r="N80" s="25"/>
      <c r="O80" s="25"/>
      <c r="P80" s="25"/>
      <c r="Q80" s="25"/>
      <c r="R80" s="25"/>
      <c r="S80" s="25"/>
      <c r="T80" s="25"/>
      <c r="U80" s="25"/>
      <c r="V80" s="25"/>
      <c r="W80" s="17" t="s">
        <v>526</v>
      </c>
      <c r="X80" s="17"/>
      <c r="Y80" s="25"/>
      <c r="Z80" s="25"/>
      <c r="AA80" s="25"/>
      <c r="AB80" s="25"/>
      <c r="AC80" s="25"/>
    </row>
    <row r="81" spans="1:29" x14ac:dyDescent="0.3">
      <c r="A81" s="25"/>
      <c r="B81" s="25"/>
      <c r="C81" s="25"/>
      <c r="D81" s="25"/>
      <c r="E81" s="25"/>
      <c r="F81" s="25"/>
      <c r="G81" s="25"/>
      <c r="H81" s="25"/>
      <c r="I81" s="25"/>
      <c r="J81" s="25"/>
      <c r="K81" s="25"/>
      <c r="L81" s="25"/>
      <c r="M81" s="25"/>
      <c r="N81" s="25"/>
      <c r="O81" s="25"/>
      <c r="P81" s="25"/>
      <c r="Q81" s="25"/>
      <c r="R81" s="25"/>
      <c r="S81" s="25"/>
      <c r="T81" s="25"/>
      <c r="U81" s="25"/>
      <c r="V81" s="25"/>
      <c r="W81" s="17" t="s">
        <v>527</v>
      </c>
      <c r="X81" s="17"/>
      <c r="Y81" s="25"/>
      <c r="Z81" s="25"/>
      <c r="AA81" s="25"/>
      <c r="AB81" s="25"/>
      <c r="AC81" s="25"/>
    </row>
    <row r="82" spans="1:29" x14ac:dyDescent="0.3">
      <c r="A82" s="25"/>
      <c r="B82" s="25"/>
      <c r="C82" s="25"/>
      <c r="D82" s="25"/>
      <c r="E82" s="25"/>
      <c r="F82" s="25"/>
      <c r="G82" s="25"/>
      <c r="H82" s="25"/>
      <c r="I82" s="25"/>
      <c r="J82" s="25"/>
      <c r="K82" s="25"/>
      <c r="L82" s="25"/>
      <c r="M82" s="25"/>
      <c r="N82" s="25"/>
      <c r="O82" s="25"/>
      <c r="P82" s="25"/>
      <c r="Q82" s="25"/>
      <c r="R82" s="25"/>
      <c r="S82" s="25"/>
      <c r="T82" s="25"/>
      <c r="U82" s="25"/>
      <c r="V82" s="25"/>
      <c r="W82" s="17" t="s">
        <v>528</v>
      </c>
      <c r="X82" s="17"/>
      <c r="Y82" s="25"/>
      <c r="Z82" s="25"/>
      <c r="AA82" s="25"/>
      <c r="AB82" s="25"/>
      <c r="AC82" s="25"/>
    </row>
    <row r="83" spans="1:29" x14ac:dyDescent="0.3">
      <c r="A83" s="25"/>
      <c r="B83" s="25"/>
      <c r="C83" s="25"/>
      <c r="D83" s="25"/>
      <c r="E83" s="25"/>
      <c r="F83" s="25"/>
      <c r="G83" s="25"/>
      <c r="H83" s="25"/>
      <c r="I83" s="25"/>
      <c r="J83" s="25"/>
      <c r="K83" s="25"/>
      <c r="L83" s="25"/>
      <c r="M83" s="25"/>
      <c r="N83" s="25"/>
      <c r="O83" s="25"/>
      <c r="P83" s="25"/>
      <c r="Q83" s="25"/>
      <c r="R83" s="25"/>
      <c r="S83" s="25"/>
      <c r="T83" s="25"/>
      <c r="U83" s="25"/>
      <c r="V83" s="25"/>
      <c r="W83" s="17" t="s">
        <v>529</v>
      </c>
      <c r="X83" s="17"/>
      <c r="Y83" s="25"/>
      <c r="Z83" s="25"/>
      <c r="AA83" s="25"/>
      <c r="AB83" s="25"/>
      <c r="AC83" s="25"/>
    </row>
    <row r="84" spans="1:29" x14ac:dyDescent="0.3">
      <c r="A84" s="25"/>
      <c r="B84" s="25"/>
      <c r="C84" s="25"/>
      <c r="D84" s="25"/>
      <c r="E84" s="25"/>
      <c r="F84" s="25"/>
      <c r="G84" s="25"/>
      <c r="H84" s="25"/>
      <c r="I84" s="25"/>
      <c r="J84" s="25"/>
      <c r="K84" s="25"/>
      <c r="L84" s="25"/>
      <c r="M84" s="25"/>
      <c r="N84" s="25"/>
      <c r="O84" s="25"/>
      <c r="P84" s="25"/>
      <c r="Q84" s="25"/>
      <c r="R84" s="25"/>
      <c r="S84" s="25"/>
      <c r="T84" s="25"/>
      <c r="U84" s="25"/>
      <c r="V84" s="25"/>
      <c r="W84" s="17" t="s">
        <v>530</v>
      </c>
      <c r="X84" s="17"/>
      <c r="Y84" s="25"/>
      <c r="Z84" s="25"/>
      <c r="AA84" s="25"/>
      <c r="AB84" s="25"/>
      <c r="AC84" s="25"/>
    </row>
    <row r="85" spans="1:29" x14ac:dyDescent="0.3">
      <c r="A85" s="25"/>
      <c r="B85" s="25"/>
      <c r="C85" s="25"/>
      <c r="D85" s="25"/>
      <c r="E85" s="25"/>
      <c r="F85" s="25"/>
      <c r="G85" s="25"/>
      <c r="H85" s="25"/>
      <c r="I85" s="25"/>
      <c r="J85" s="25"/>
      <c r="K85" s="25"/>
      <c r="L85" s="25"/>
      <c r="M85" s="25"/>
      <c r="N85" s="25"/>
      <c r="O85" s="25"/>
      <c r="P85" s="25"/>
      <c r="Q85" s="25"/>
      <c r="R85" s="25"/>
      <c r="S85" s="25"/>
      <c r="T85" s="25"/>
      <c r="U85" s="25"/>
      <c r="V85" s="25"/>
      <c r="W85" s="17" t="s">
        <v>531</v>
      </c>
      <c r="X85" s="17"/>
      <c r="Y85" s="25"/>
      <c r="Z85" s="25"/>
      <c r="AA85" s="25"/>
      <c r="AB85" s="25"/>
      <c r="AC85" s="25"/>
    </row>
    <row r="86" spans="1:29" x14ac:dyDescent="0.3">
      <c r="A86" s="25"/>
      <c r="B86" s="25"/>
      <c r="C86" s="25"/>
      <c r="D86" s="25"/>
      <c r="E86" s="25"/>
      <c r="F86" s="25"/>
      <c r="G86" s="25"/>
      <c r="H86" s="25"/>
      <c r="I86" s="25"/>
      <c r="J86" s="25"/>
      <c r="K86" s="25"/>
      <c r="L86" s="25"/>
      <c r="M86" s="25"/>
      <c r="N86" s="25"/>
      <c r="O86" s="25"/>
      <c r="P86" s="25"/>
      <c r="Q86" s="25"/>
      <c r="R86" s="25"/>
      <c r="S86" s="25"/>
      <c r="T86" s="25"/>
      <c r="U86" s="25"/>
      <c r="V86" s="25"/>
      <c r="W86" s="17" t="s">
        <v>532</v>
      </c>
      <c r="X86" s="17"/>
      <c r="Y86" s="25"/>
      <c r="Z86" s="25"/>
      <c r="AA86" s="25"/>
      <c r="AB86" s="25"/>
      <c r="AC86" s="25"/>
    </row>
    <row r="87" spans="1:29" x14ac:dyDescent="0.3">
      <c r="A87" s="25"/>
      <c r="B87" s="25"/>
      <c r="C87" s="25"/>
      <c r="D87" s="25"/>
      <c r="E87" s="25"/>
      <c r="F87" s="25"/>
      <c r="G87" s="25"/>
      <c r="H87" s="25"/>
      <c r="I87" s="25"/>
      <c r="J87" s="25"/>
      <c r="K87" s="25"/>
      <c r="L87" s="25"/>
      <c r="M87" s="25"/>
      <c r="N87" s="25"/>
      <c r="O87" s="25"/>
      <c r="P87" s="25"/>
      <c r="Q87" s="25"/>
      <c r="R87" s="25"/>
      <c r="S87" s="25"/>
      <c r="T87" s="25"/>
      <c r="U87" s="25"/>
      <c r="V87" s="25"/>
      <c r="W87" s="17" t="s">
        <v>533</v>
      </c>
      <c r="X87" s="17"/>
      <c r="Y87" s="25"/>
      <c r="Z87" s="25"/>
      <c r="AA87" s="25"/>
      <c r="AB87" s="25"/>
      <c r="AC87" s="25"/>
    </row>
    <row r="88" spans="1:29" x14ac:dyDescent="0.3">
      <c r="A88" s="25"/>
      <c r="B88" s="25"/>
      <c r="C88" s="25"/>
      <c r="D88" s="25"/>
      <c r="E88" s="25"/>
      <c r="F88" s="25"/>
      <c r="G88" s="25"/>
      <c r="H88" s="25"/>
      <c r="I88" s="25"/>
      <c r="J88" s="25"/>
      <c r="K88" s="25"/>
      <c r="L88" s="25"/>
      <c r="M88" s="25"/>
      <c r="N88" s="25"/>
      <c r="O88" s="25"/>
      <c r="P88" s="25"/>
      <c r="Q88" s="25"/>
      <c r="R88" s="25"/>
      <c r="S88" s="25"/>
      <c r="T88" s="25"/>
      <c r="U88" s="25"/>
      <c r="V88" s="25"/>
      <c r="W88" s="17" t="s">
        <v>534</v>
      </c>
      <c r="X88" s="17"/>
      <c r="Y88" s="25"/>
      <c r="Z88" s="25"/>
      <c r="AA88" s="25"/>
      <c r="AB88" s="25"/>
      <c r="AC88" s="25"/>
    </row>
    <row r="89" spans="1:29" x14ac:dyDescent="0.3">
      <c r="A89" s="25"/>
      <c r="B89" s="25"/>
      <c r="C89" s="25"/>
      <c r="D89" s="25"/>
      <c r="E89" s="25"/>
      <c r="F89" s="25"/>
      <c r="G89" s="25"/>
      <c r="H89" s="25"/>
      <c r="I89" s="25"/>
      <c r="J89" s="25"/>
      <c r="K89" s="25"/>
      <c r="L89" s="25"/>
      <c r="M89" s="25"/>
      <c r="N89" s="25"/>
      <c r="O89" s="25"/>
      <c r="P89" s="25"/>
      <c r="Q89" s="25"/>
      <c r="R89" s="25"/>
      <c r="S89" s="25"/>
      <c r="T89" s="25"/>
      <c r="U89" s="25"/>
      <c r="V89" s="25"/>
      <c r="W89" s="17" t="s">
        <v>535</v>
      </c>
      <c r="X89" s="17"/>
      <c r="Y89" s="25"/>
      <c r="Z89" s="25"/>
      <c r="AA89" s="25"/>
      <c r="AB89" s="25"/>
      <c r="AC89" s="25"/>
    </row>
    <row r="90" spans="1:29" x14ac:dyDescent="0.3">
      <c r="A90" s="25"/>
      <c r="B90" s="25"/>
      <c r="C90" s="25"/>
      <c r="D90" s="25"/>
      <c r="E90" s="25"/>
      <c r="F90" s="25"/>
      <c r="G90" s="25"/>
      <c r="H90" s="25"/>
      <c r="I90" s="25"/>
      <c r="J90" s="25"/>
      <c r="K90" s="25"/>
      <c r="L90" s="25"/>
      <c r="M90" s="25"/>
      <c r="N90" s="25"/>
      <c r="O90" s="25"/>
      <c r="P90" s="25"/>
      <c r="Q90" s="25"/>
      <c r="R90" s="25"/>
      <c r="S90" s="25"/>
      <c r="T90" s="25"/>
      <c r="U90" s="25"/>
      <c r="V90" s="25"/>
      <c r="W90" s="17" t="s">
        <v>536</v>
      </c>
      <c r="X90" s="17"/>
      <c r="Y90" s="25"/>
      <c r="Z90" s="25"/>
      <c r="AA90" s="25"/>
      <c r="AB90" s="25"/>
      <c r="AC90" s="25"/>
    </row>
    <row r="91" spans="1:29" x14ac:dyDescent="0.3">
      <c r="A91" s="25"/>
      <c r="B91" s="25"/>
      <c r="C91" s="25"/>
      <c r="D91" s="25"/>
      <c r="E91" s="25"/>
      <c r="F91" s="25"/>
      <c r="G91" s="25"/>
      <c r="H91" s="25"/>
      <c r="I91" s="25"/>
      <c r="J91" s="25"/>
      <c r="K91" s="25"/>
      <c r="L91" s="25"/>
      <c r="M91" s="25"/>
      <c r="N91" s="25"/>
      <c r="O91" s="25"/>
      <c r="P91" s="25"/>
      <c r="Q91" s="25"/>
      <c r="R91" s="25"/>
      <c r="S91" s="25"/>
      <c r="T91" s="25"/>
      <c r="U91" s="25"/>
      <c r="V91" s="25"/>
      <c r="W91" s="17" t="s">
        <v>537</v>
      </c>
      <c r="X91" s="17"/>
      <c r="Y91" s="25"/>
      <c r="Z91" s="25"/>
      <c r="AA91" s="25"/>
      <c r="AB91" s="25"/>
      <c r="AC91" s="25"/>
    </row>
    <row r="92" spans="1:29" x14ac:dyDescent="0.3">
      <c r="A92" s="25"/>
      <c r="B92" s="25"/>
      <c r="C92" s="25"/>
      <c r="D92" s="25"/>
      <c r="E92" s="25"/>
      <c r="F92" s="25"/>
      <c r="G92" s="25"/>
      <c r="H92" s="25"/>
      <c r="I92" s="25"/>
      <c r="J92" s="25"/>
      <c r="K92" s="25"/>
      <c r="L92" s="25"/>
      <c r="M92" s="25"/>
      <c r="N92" s="25"/>
      <c r="O92" s="25"/>
      <c r="P92" s="25"/>
      <c r="Q92" s="25"/>
      <c r="R92" s="25"/>
      <c r="S92" s="25"/>
      <c r="T92" s="25"/>
      <c r="U92" s="25"/>
      <c r="V92" s="25"/>
      <c r="W92" s="17" t="s">
        <v>538</v>
      </c>
      <c r="X92" s="17"/>
      <c r="Y92" s="25"/>
      <c r="Z92" s="25"/>
      <c r="AA92" s="25"/>
      <c r="AB92" s="25"/>
      <c r="AC92" s="25"/>
    </row>
    <row r="93" spans="1:29" x14ac:dyDescent="0.3">
      <c r="A93" s="25"/>
      <c r="B93" s="25"/>
      <c r="C93" s="25"/>
      <c r="D93" s="25"/>
      <c r="E93" s="25"/>
      <c r="F93" s="25"/>
      <c r="G93" s="25"/>
      <c r="H93" s="25"/>
      <c r="I93" s="25"/>
      <c r="J93" s="25"/>
      <c r="K93" s="25"/>
      <c r="L93" s="25"/>
      <c r="M93" s="25"/>
      <c r="N93" s="25"/>
      <c r="O93" s="25"/>
      <c r="P93" s="25"/>
      <c r="Q93" s="25"/>
      <c r="R93" s="25"/>
      <c r="S93" s="25"/>
      <c r="T93" s="25"/>
      <c r="U93" s="25"/>
      <c r="V93" s="25"/>
      <c r="W93" s="17" t="s">
        <v>539</v>
      </c>
      <c r="X93" s="17"/>
      <c r="Y93" s="25"/>
      <c r="Z93" s="25"/>
      <c r="AA93" s="25"/>
      <c r="AB93" s="25"/>
      <c r="AC93" s="25"/>
    </row>
    <row r="94" spans="1:29" x14ac:dyDescent="0.3">
      <c r="A94" s="25"/>
      <c r="B94" s="25"/>
      <c r="C94" s="25"/>
      <c r="D94" s="25"/>
      <c r="E94" s="25"/>
      <c r="F94" s="25"/>
      <c r="G94" s="25"/>
      <c r="H94" s="25"/>
      <c r="I94" s="25"/>
      <c r="J94" s="25"/>
      <c r="K94" s="25"/>
      <c r="L94" s="25"/>
      <c r="M94" s="25"/>
      <c r="N94" s="25"/>
      <c r="O94" s="25"/>
      <c r="P94" s="25"/>
      <c r="Q94" s="25"/>
      <c r="R94" s="25"/>
      <c r="S94" s="25"/>
      <c r="T94" s="25"/>
      <c r="U94" s="25"/>
      <c r="V94" s="25"/>
      <c r="W94" s="17" t="s">
        <v>540</v>
      </c>
      <c r="X94" s="17"/>
      <c r="Y94" s="25"/>
      <c r="Z94" s="25"/>
      <c r="AA94" s="25"/>
      <c r="AB94" s="25"/>
      <c r="AC94" s="25"/>
    </row>
    <row r="95" spans="1:29" x14ac:dyDescent="0.3">
      <c r="A95" s="25"/>
      <c r="B95" s="25"/>
      <c r="C95" s="25"/>
      <c r="D95" s="25"/>
      <c r="E95" s="25"/>
      <c r="F95" s="25"/>
      <c r="G95" s="25"/>
      <c r="H95" s="25"/>
      <c r="I95" s="25"/>
      <c r="J95" s="25"/>
      <c r="K95" s="25"/>
      <c r="L95" s="25"/>
      <c r="M95" s="25"/>
      <c r="N95" s="25"/>
      <c r="O95" s="25"/>
      <c r="P95" s="25"/>
      <c r="Q95" s="25"/>
      <c r="R95" s="25"/>
      <c r="S95" s="25"/>
      <c r="T95" s="25"/>
      <c r="U95" s="25"/>
      <c r="V95" s="25"/>
      <c r="W95" s="17" t="s">
        <v>541</v>
      </c>
      <c r="X95" s="17"/>
      <c r="Y95" s="25"/>
      <c r="Z95" s="25"/>
      <c r="AA95" s="25"/>
      <c r="AB95" s="25"/>
      <c r="AC95" s="25"/>
    </row>
    <row r="96" spans="1:29" x14ac:dyDescent="0.3">
      <c r="A96" s="25"/>
      <c r="B96" s="25"/>
      <c r="C96" s="25"/>
      <c r="D96" s="25"/>
      <c r="E96" s="25"/>
      <c r="F96" s="25"/>
      <c r="G96" s="25"/>
      <c r="H96" s="25"/>
      <c r="I96" s="25"/>
      <c r="J96" s="25"/>
      <c r="K96" s="25"/>
      <c r="L96" s="25"/>
      <c r="M96" s="25"/>
      <c r="N96" s="25"/>
      <c r="O96" s="25"/>
      <c r="P96" s="25"/>
      <c r="Q96" s="25"/>
      <c r="R96" s="25"/>
      <c r="S96" s="25"/>
      <c r="T96" s="25"/>
      <c r="U96" s="25"/>
      <c r="V96" s="25"/>
      <c r="W96" s="17" t="s">
        <v>542</v>
      </c>
      <c r="X96" s="17"/>
      <c r="Y96" s="25"/>
      <c r="Z96" s="25"/>
      <c r="AA96" s="25"/>
      <c r="AB96" s="25"/>
      <c r="AC96" s="25"/>
    </row>
    <row r="97" spans="1:29" x14ac:dyDescent="0.3">
      <c r="A97" s="25"/>
      <c r="B97" s="25"/>
      <c r="C97" s="25"/>
      <c r="D97" s="25"/>
      <c r="E97" s="25"/>
      <c r="F97" s="25"/>
      <c r="G97" s="25"/>
      <c r="H97" s="25"/>
      <c r="I97" s="25"/>
      <c r="J97" s="25"/>
      <c r="K97" s="25"/>
      <c r="L97" s="25"/>
      <c r="M97" s="25"/>
      <c r="N97" s="25"/>
      <c r="O97" s="25"/>
      <c r="P97" s="25"/>
      <c r="Q97" s="25"/>
      <c r="R97" s="25"/>
      <c r="S97" s="25"/>
      <c r="T97" s="25"/>
      <c r="U97" s="25"/>
      <c r="V97" s="25"/>
      <c r="W97" s="17" t="s">
        <v>543</v>
      </c>
      <c r="X97" s="17"/>
      <c r="Y97" s="25"/>
      <c r="Z97" s="25"/>
      <c r="AA97" s="25"/>
      <c r="AB97" s="25"/>
      <c r="AC97" s="25"/>
    </row>
    <row r="98" spans="1:29" x14ac:dyDescent="0.3">
      <c r="A98" s="25"/>
      <c r="B98" s="25"/>
      <c r="C98" s="25"/>
      <c r="D98" s="25"/>
      <c r="E98" s="25"/>
      <c r="F98" s="25"/>
      <c r="G98" s="25"/>
      <c r="H98" s="25"/>
      <c r="I98" s="25"/>
      <c r="J98" s="25"/>
      <c r="K98" s="25"/>
      <c r="L98" s="25"/>
      <c r="M98" s="25"/>
      <c r="N98" s="25"/>
      <c r="O98" s="25"/>
      <c r="P98" s="25"/>
      <c r="Q98" s="25"/>
      <c r="R98" s="25"/>
      <c r="S98" s="25"/>
      <c r="T98" s="25"/>
      <c r="U98" s="25"/>
      <c r="V98" s="25"/>
      <c r="W98" s="17" t="s">
        <v>544</v>
      </c>
      <c r="X98" s="17"/>
      <c r="Y98" s="25"/>
      <c r="Z98" s="25"/>
      <c r="AA98" s="25"/>
      <c r="AB98" s="25"/>
      <c r="AC98" s="25"/>
    </row>
    <row r="99" spans="1:29" x14ac:dyDescent="0.3">
      <c r="A99" s="25"/>
      <c r="B99" s="25"/>
      <c r="C99" s="25"/>
      <c r="D99" s="25"/>
      <c r="E99" s="25"/>
      <c r="F99" s="25"/>
      <c r="G99" s="25"/>
      <c r="H99" s="25"/>
      <c r="I99" s="25"/>
      <c r="J99" s="25"/>
      <c r="K99" s="25"/>
      <c r="L99" s="25"/>
      <c r="M99" s="25"/>
      <c r="N99" s="25"/>
      <c r="O99" s="25"/>
      <c r="P99" s="25"/>
      <c r="Q99" s="25"/>
      <c r="R99" s="25"/>
      <c r="S99" s="25"/>
      <c r="T99" s="25"/>
      <c r="U99" s="25"/>
      <c r="V99" s="25"/>
      <c r="W99" s="17" t="s">
        <v>545</v>
      </c>
      <c r="X99" s="17"/>
      <c r="Y99" s="25"/>
      <c r="Z99" s="25"/>
      <c r="AA99" s="25"/>
      <c r="AB99" s="25"/>
      <c r="AC99" s="25"/>
    </row>
    <row r="100" spans="1:29" x14ac:dyDescent="0.3">
      <c r="A100" s="25"/>
      <c r="B100" s="25"/>
      <c r="C100" s="25"/>
      <c r="D100" s="25"/>
      <c r="E100" s="25"/>
      <c r="F100" s="25"/>
      <c r="G100" s="25"/>
      <c r="H100" s="25"/>
      <c r="I100" s="25"/>
      <c r="J100" s="25"/>
      <c r="K100" s="25"/>
      <c r="L100" s="25"/>
      <c r="M100" s="25"/>
      <c r="N100" s="25"/>
      <c r="O100" s="25"/>
      <c r="P100" s="25"/>
      <c r="Q100" s="25"/>
      <c r="R100" s="25"/>
      <c r="S100" s="25"/>
      <c r="T100" s="25"/>
      <c r="U100" s="25"/>
      <c r="V100" s="25"/>
      <c r="W100" s="17" t="s">
        <v>546</v>
      </c>
      <c r="X100" s="17"/>
      <c r="Y100" s="25"/>
      <c r="Z100" s="25"/>
      <c r="AA100" s="25"/>
      <c r="AB100" s="25"/>
      <c r="AC100" s="25"/>
    </row>
    <row r="101" spans="1:29" x14ac:dyDescent="0.3">
      <c r="A101" s="25"/>
      <c r="B101" s="25"/>
      <c r="C101" s="25"/>
      <c r="D101" s="25"/>
      <c r="E101" s="25"/>
      <c r="F101" s="25"/>
      <c r="G101" s="25"/>
      <c r="H101" s="25"/>
      <c r="I101" s="25"/>
      <c r="J101" s="25"/>
      <c r="K101" s="25"/>
      <c r="L101" s="25"/>
      <c r="M101" s="25"/>
      <c r="N101" s="25"/>
      <c r="O101" s="25"/>
      <c r="P101" s="25"/>
      <c r="Q101" s="25"/>
      <c r="R101" s="25"/>
      <c r="S101" s="25"/>
      <c r="T101" s="25"/>
      <c r="U101" s="25"/>
      <c r="V101" s="25"/>
      <c r="W101" s="17" t="s">
        <v>547</v>
      </c>
      <c r="X101" s="17"/>
      <c r="Y101" s="25"/>
      <c r="Z101" s="25"/>
      <c r="AA101" s="25"/>
      <c r="AB101" s="25"/>
      <c r="AC101" s="25"/>
    </row>
    <row r="102" spans="1:29" x14ac:dyDescent="0.3">
      <c r="A102" s="25"/>
      <c r="B102" s="25"/>
      <c r="C102" s="25"/>
      <c r="D102" s="25"/>
      <c r="E102" s="25"/>
      <c r="F102" s="25"/>
      <c r="G102" s="25"/>
      <c r="H102" s="25"/>
      <c r="I102" s="25"/>
      <c r="J102" s="25"/>
      <c r="K102" s="25"/>
      <c r="L102" s="25"/>
      <c r="M102" s="25"/>
      <c r="N102" s="25"/>
      <c r="O102" s="25"/>
      <c r="P102" s="25"/>
      <c r="Q102" s="25"/>
      <c r="R102" s="25"/>
      <c r="S102" s="25"/>
      <c r="T102" s="25"/>
      <c r="U102" s="25"/>
      <c r="V102" s="25"/>
      <c r="W102" s="17" t="s">
        <v>548</v>
      </c>
      <c r="X102" s="17"/>
      <c r="Y102" s="25"/>
      <c r="Z102" s="25"/>
      <c r="AA102" s="25"/>
      <c r="AB102" s="25"/>
      <c r="AC102" s="25"/>
    </row>
    <row r="103" spans="1:29" x14ac:dyDescent="0.3">
      <c r="A103" s="25"/>
      <c r="B103" s="25"/>
      <c r="C103" s="25"/>
      <c r="D103" s="25"/>
      <c r="E103" s="25"/>
      <c r="F103" s="25"/>
      <c r="G103" s="25"/>
      <c r="H103" s="25"/>
      <c r="I103" s="25"/>
      <c r="J103" s="25"/>
      <c r="K103" s="25"/>
      <c r="L103" s="25"/>
      <c r="M103" s="25"/>
      <c r="N103" s="25"/>
      <c r="O103" s="25"/>
      <c r="P103" s="25"/>
      <c r="Q103" s="25"/>
      <c r="R103" s="25"/>
      <c r="S103" s="25"/>
      <c r="T103" s="25"/>
      <c r="U103" s="25"/>
      <c r="V103" s="25"/>
      <c r="W103" s="17" t="s">
        <v>549</v>
      </c>
      <c r="X103" s="17"/>
      <c r="Y103" s="25"/>
      <c r="Z103" s="25"/>
      <c r="AA103" s="25"/>
      <c r="AB103" s="25"/>
      <c r="AC103" s="25"/>
    </row>
    <row r="104" spans="1:29" x14ac:dyDescent="0.3">
      <c r="A104" s="25"/>
      <c r="B104" s="25"/>
      <c r="C104" s="25"/>
      <c r="D104" s="25"/>
      <c r="E104" s="25"/>
      <c r="F104" s="25"/>
      <c r="G104" s="25"/>
      <c r="H104" s="25"/>
      <c r="I104" s="25"/>
      <c r="J104" s="25"/>
      <c r="K104" s="25"/>
      <c r="L104" s="25"/>
      <c r="M104" s="25"/>
      <c r="N104" s="25"/>
      <c r="O104" s="25"/>
      <c r="P104" s="25"/>
      <c r="Q104" s="25"/>
      <c r="R104" s="25"/>
      <c r="S104" s="25"/>
      <c r="T104" s="25"/>
      <c r="U104" s="25"/>
      <c r="V104" s="25"/>
      <c r="W104" s="17" t="s">
        <v>550</v>
      </c>
      <c r="X104" s="17"/>
      <c r="Y104" s="25"/>
      <c r="Z104" s="25"/>
      <c r="AA104" s="25"/>
      <c r="AB104" s="25"/>
      <c r="AC104" s="25"/>
    </row>
    <row r="105" spans="1:29" x14ac:dyDescent="0.3">
      <c r="A105" s="25"/>
      <c r="B105" s="25"/>
      <c r="C105" s="25"/>
      <c r="D105" s="25"/>
      <c r="E105" s="25"/>
      <c r="F105" s="25"/>
      <c r="G105" s="25"/>
      <c r="H105" s="25"/>
      <c r="I105" s="25"/>
      <c r="J105" s="25"/>
      <c r="K105" s="25"/>
      <c r="L105" s="25"/>
      <c r="M105" s="25"/>
      <c r="N105" s="25"/>
      <c r="O105" s="25"/>
      <c r="P105" s="25"/>
      <c r="Q105" s="25"/>
      <c r="R105" s="25"/>
      <c r="S105" s="25"/>
      <c r="T105" s="25"/>
      <c r="U105" s="25"/>
      <c r="V105" s="25"/>
      <c r="W105" s="17" t="s">
        <v>551</v>
      </c>
      <c r="X105" s="17"/>
      <c r="Y105" s="25"/>
      <c r="Z105" s="25"/>
      <c r="AA105" s="25"/>
      <c r="AB105" s="25"/>
      <c r="AC105" s="25"/>
    </row>
    <row r="106" spans="1:29" x14ac:dyDescent="0.3">
      <c r="A106" s="25"/>
      <c r="B106" s="25"/>
      <c r="C106" s="25"/>
      <c r="D106" s="25"/>
      <c r="E106" s="25"/>
      <c r="F106" s="25"/>
      <c r="G106" s="25"/>
      <c r="H106" s="25"/>
      <c r="I106" s="25"/>
      <c r="J106" s="25"/>
      <c r="K106" s="25"/>
      <c r="L106" s="25"/>
      <c r="M106" s="25"/>
      <c r="N106" s="25"/>
      <c r="O106" s="25"/>
      <c r="P106" s="25"/>
      <c r="Q106" s="25"/>
      <c r="R106" s="25"/>
      <c r="S106" s="25"/>
      <c r="T106" s="25"/>
      <c r="U106" s="25"/>
      <c r="V106" s="25"/>
      <c r="W106" s="17" t="s">
        <v>552</v>
      </c>
      <c r="X106" s="17"/>
      <c r="Y106" s="25"/>
      <c r="Z106" s="25"/>
      <c r="AA106" s="25"/>
      <c r="AB106" s="25"/>
      <c r="AC106" s="25"/>
    </row>
    <row r="107" spans="1:29" x14ac:dyDescent="0.3">
      <c r="A107" s="25"/>
      <c r="B107" s="25"/>
      <c r="C107" s="25"/>
      <c r="D107" s="25"/>
      <c r="E107" s="25"/>
      <c r="F107" s="25"/>
      <c r="G107" s="25"/>
      <c r="H107" s="25"/>
      <c r="I107" s="25"/>
      <c r="J107" s="25"/>
      <c r="K107" s="25"/>
      <c r="L107" s="25"/>
      <c r="M107" s="25"/>
      <c r="N107" s="25"/>
      <c r="O107" s="25"/>
      <c r="P107" s="25"/>
      <c r="Q107" s="25"/>
      <c r="R107" s="25"/>
      <c r="S107" s="25"/>
      <c r="T107" s="25"/>
      <c r="U107" s="25"/>
      <c r="V107" s="25"/>
      <c r="W107" s="17" t="s">
        <v>553</v>
      </c>
      <c r="X107" s="17"/>
      <c r="Y107" s="25"/>
      <c r="Z107" s="25"/>
      <c r="AA107" s="25"/>
      <c r="AB107" s="25"/>
      <c r="AC107" s="25"/>
    </row>
    <row r="108" spans="1:29" x14ac:dyDescent="0.3">
      <c r="A108" s="25"/>
      <c r="B108" s="25"/>
      <c r="C108" s="25"/>
      <c r="D108" s="25"/>
      <c r="E108" s="25"/>
      <c r="F108" s="25"/>
      <c r="G108" s="25"/>
      <c r="H108" s="25"/>
      <c r="I108" s="25"/>
      <c r="J108" s="25"/>
      <c r="K108" s="25"/>
      <c r="L108" s="25"/>
      <c r="M108" s="25"/>
      <c r="N108" s="25"/>
      <c r="O108" s="25"/>
      <c r="P108" s="25"/>
      <c r="Q108" s="25"/>
      <c r="R108" s="25"/>
      <c r="S108" s="25"/>
      <c r="T108" s="25"/>
      <c r="U108" s="25"/>
      <c r="V108" s="25"/>
      <c r="W108" s="17" t="s">
        <v>554</v>
      </c>
      <c r="X108" s="17"/>
      <c r="Y108" s="25"/>
      <c r="Z108" s="25"/>
      <c r="AA108" s="25"/>
      <c r="AB108" s="25"/>
      <c r="AC108" s="25"/>
    </row>
    <row r="109" spans="1:29" x14ac:dyDescent="0.3">
      <c r="A109" s="25"/>
      <c r="B109" s="25"/>
      <c r="C109" s="25"/>
      <c r="D109" s="25"/>
      <c r="E109" s="25"/>
      <c r="F109" s="25"/>
      <c r="G109" s="25"/>
      <c r="H109" s="25"/>
      <c r="I109" s="25"/>
      <c r="J109" s="25"/>
      <c r="K109" s="25"/>
      <c r="L109" s="25"/>
      <c r="M109" s="25"/>
      <c r="N109" s="25"/>
      <c r="O109" s="25"/>
      <c r="P109" s="25"/>
      <c r="Q109" s="25"/>
      <c r="R109" s="25"/>
      <c r="S109" s="25"/>
      <c r="T109" s="25"/>
      <c r="U109" s="25"/>
      <c r="V109" s="25"/>
      <c r="W109" s="17" t="s">
        <v>555</v>
      </c>
      <c r="X109" s="17"/>
      <c r="Y109" s="25"/>
      <c r="Z109" s="25"/>
      <c r="AA109" s="25"/>
      <c r="AB109" s="25"/>
      <c r="AC109" s="25"/>
    </row>
    <row r="110" spans="1:29" x14ac:dyDescent="0.3">
      <c r="A110" s="25"/>
      <c r="B110" s="25"/>
      <c r="C110" s="25"/>
      <c r="D110" s="25"/>
      <c r="E110" s="25"/>
      <c r="F110" s="25"/>
      <c r="G110" s="25"/>
      <c r="H110" s="25"/>
      <c r="I110" s="25"/>
      <c r="J110" s="25"/>
      <c r="K110" s="25"/>
      <c r="L110" s="25"/>
      <c r="M110" s="25"/>
      <c r="N110" s="25"/>
      <c r="O110" s="25"/>
      <c r="P110" s="25"/>
      <c r="Q110" s="25"/>
      <c r="R110" s="25"/>
      <c r="S110" s="25"/>
      <c r="T110" s="25"/>
      <c r="U110" s="25"/>
      <c r="V110" s="25"/>
      <c r="W110" s="17" t="s">
        <v>556</v>
      </c>
      <c r="X110" s="17"/>
      <c r="Y110" s="25"/>
      <c r="Z110" s="25"/>
      <c r="AA110" s="25"/>
      <c r="AB110" s="25"/>
      <c r="AC110" s="25"/>
    </row>
    <row r="111" spans="1:29" x14ac:dyDescent="0.3">
      <c r="A111" s="25"/>
      <c r="B111" s="25"/>
      <c r="C111" s="25"/>
      <c r="D111" s="25"/>
      <c r="E111" s="25"/>
      <c r="F111" s="25"/>
      <c r="G111" s="25"/>
      <c r="H111" s="25"/>
      <c r="I111" s="25"/>
      <c r="J111" s="25"/>
      <c r="K111" s="25"/>
      <c r="L111" s="25"/>
      <c r="M111" s="25"/>
      <c r="N111" s="25"/>
      <c r="O111" s="25"/>
      <c r="P111" s="25"/>
      <c r="Q111" s="25"/>
      <c r="R111" s="25"/>
      <c r="S111" s="25"/>
      <c r="T111" s="25"/>
      <c r="U111" s="25"/>
      <c r="V111" s="25"/>
      <c r="W111" s="17" t="s">
        <v>557</v>
      </c>
      <c r="X111" s="17"/>
      <c r="Y111" s="25"/>
      <c r="Z111" s="25"/>
      <c r="AA111" s="25"/>
      <c r="AB111" s="25"/>
      <c r="AC111" s="25"/>
    </row>
    <row r="112" spans="1:29" x14ac:dyDescent="0.3">
      <c r="A112" s="25"/>
      <c r="B112" s="25"/>
      <c r="C112" s="25"/>
      <c r="D112" s="25"/>
      <c r="E112" s="25"/>
      <c r="F112" s="25"/>
      <c r="G112" s="25"/>
      <c r="H112" s="25"/>
      <c r="I112" s="25"/>
      <c r="J112" s="25"/>
      <c r="K112" s="25"/>
      <c r="L112" s="25"/>
      <c r="M112" s="25"/>
      <c r="N112" s="25"/>
      <c r="O112" s="25"/>
      <c r="P112" s="25"/>
      <c r="Q112" s="25"/>
      <c r="R112" s="25"/>
      <c r="S112" s="25"/>
      <c r="T112" s="25"/>
      <c r="U112" s="25"/>
      <c r="V112" s="25"/>
      <c r="W112" s="17" t="s">
        <v>558</v>
      </c>
      <c r="X112" s="17"/>
      <c r="Y112" s="25"/>
      <c r="Z112" s="25"/>
      <c r="AA112" s="25"/>
      <c r="AB112" s="25"/>
      <c r="AC112" s="25"/>
    </row>
    <row r="113" spans="1:29" x14ac:dyDescent="0.3">
      <c r="A113" s="25"/>
      <c r="B113" s="25"/>
      <c r="C113" s="25"/>
      <c r="D113" s="25"/>
      <c r="E113" s="25"/>
      <c r="F113" s="25"/>
      <c r="G113" s="25"/>
      <c r="H113" s="25"/>
      <c r="I113" s="25"/>
      <c r="J113" s="25"/>
      <c r="K113" s="25"/>
      <c r="L113" s="25"/>
      <c r="M113" s="25"/>
      <c r="N113" s="25"/>
      <c r="O113" s="25"/>
      <c r="P113" s="25"/>
      <c r="Q113" s="25"/>
      <c r="R113" s="25"/>
      <c r="S113" s="25"/>
      <c r="T113" s="25"/>
      <c r="U113" s="25"/>
      <c r="V113" s="25"/>
      <c r="W113" s="17" t="s">
        <v>559</v>
      </c>
      <c r="X113" s="17"/>
      <c r="Y113" s="25"/>
      <c r="Z113" s="25"/>
      <c r="AA113" s="25"/>
      <c r="AB113" s="25"/>
      <c r="AC113" s="25"/>
    </row>
    <row r="114" spans="1:29" x14ac:dyDescent="0.3">
      <c r="A114" s="25"/>
      <c r="B114" s="25"/>
      <c r="C114" s="25"/>
      <c r="D114" s="25"/>
      <c r="E114" s="25"/>
      <c r="F114" s="25"/>
      <c r="G114" s="25"/>
      <c r="H114" s="25"/>
      <c r="I114" s="25"/>
      <c r="J114" s="25"/>
      <c r="K114" s="25"/>
      <c r="L114" s="25"/>
      <c r="M114" s="25"/>
      <c r="N114" s="25"/>
      <c r="O114" s="25"/>
      <c r="P114" s="25"/>
      <c r="Q114" s="25"/>
      <c r="R114" s="25"/>
      <c r="S114" s="25"/>
      <c r="T114" s="25"/>
      <c r="U114" s="25"/>
      <c r="V114" s="25"/>
      <c r="W114" s="17" t="s">
        <v>560</v>
      </c>
      <c r="X114" s="17"/>
      <c r="Y114" s="25"/>
      <c r="Z114" s="25"/>
      <c r="AA114" s="25"/>
      <c r="AB114" s="25"/>
      <c r="AC114" s="25"/>
    </row>
    <row r="115" spans="1:29" x14ac:dyDescent="0.3">
      <c r="A115" s="25"/>
      <c r="B115" s="25"/>
      <c r="C115" s="25"/>
      <c r="D115" s="25"/>
      <c r="E115" s="25"/>
      <c r="F115" s="25"/>
      <c r="G115" s="25"/>
      <c r="H115" s="25"/>
      <c r="I115" s="25"/>
      <c r="J115" s="25"/>
      <c r="K115" s="25"/>
      <c r="L115" s="25"/>
      <c r="M115" s="25"/>
      <c r="N115" s="25"/>
      <c r="O115" s="25"/>
      <c r="P115" s="25"/>
      <c r="Q115" s="25"/>
      <c r="R115" s="25"/>
      <c r="S115" s="25"/>
      <c r="T115" s="25"/>
      <c r="U115" s="25"/>
      <c r="V115" s="25"/>
      <c r="W115" s="17" t="s">
        <v>561</v>
      </c>
      <c r="X115" s="17"/>
      <c r="Y115" s="25"/>
      <c r="Z115" s="25"/>
      <c r="AA115" s="25"/>
      <c r="AB115" s="25"/>
      <c r="AC115" s="25"/>
    </row>
    <row r="116" spans="1:29" x14ac:dyDescent="0.3">
      <c r="A116" s="25"/>
      <c r="B116" s="25"/>
      <c r="C116" s="25"/>
      <c r="D116" s="25"/>
      <c r="E116" s="25"/>
      <c r="F116" s="25"/>
      <c r="G116" s="25"/>
      <c r="H116" s="25"/>
      <c r="I116" s="25"/>
      <c r="J116" s="25"/>
      <c r="K116" s="25"/>
      <c r="L116" s="25"/>
      <c r="M116" s="25"/>
      <c r="N116" s="25"/>
      <c r="O116" s="25"/>
      <c r="P116" s="25"/>
      <c r="Q116" s="25"/>
      <c r="R116" s="25"/>
      <c r="S116" s="25"/>
      <c r="T116" s="25"/>
      <c r="U116" s="25"/>
      <c r="V116" s="25"/>
      <c r="W116" s="17" t="s">
        <v>562</v>
      </c>
      <c r="X116" s="17"/>
      <c r="Y116" s="25"/>
      <c r="Z116" s="25"/>
      <c r="AA116" s="25"/>
      <c r="AB116" s="25"/>
      <c r="AC116" s="25"/>
    </row>
    <row r="117" spans="1:29" x14ac:dyDescent="0.3">
      <c r="A117" s="25"/>
      <c r="B117" s="25"/>
      <c r="C117" s="25"/>
      <c r="D117" s="25"/>
      <c r="E117" s="25"/>
      <c r="F117" s="25"/>
      <c r="G117" s="25"/>
      <c r="H117" s="25"/>
      <c r="I117" s="25"/>
      <c r="J117" s="25"/>
      <c r="K117" s="25"/>
      <c r="L117" s="25"/>
      <c r="M117" s="25"/>
      <c r="N117" s="25"/>
      <c r="O117" s="25"/>
      <c r="P117" s="25"/>
      <c r="Q117" s="25"/>
      <c r="R117" s="25"/>
      <c r="S117" s="25"/>
      <c r="T117" s="25"/>
      <c r="U117" s="25"/>
      <c r="V117" s="25"/>
      <c r="W117" s="17" t="s">
        <v>563</v>
      </c>
      <c r="X117" s="17"/>
      <c r="Y117" s="25"/>
      <c r="Z117" s="25"/>
      <c r="AA117" s="25"/>
      <c r="AB117" s="25"/>
      <c r="AC117" s="25"/>
    </row>
    <row r="118" spans="1:29" x14ac:dyDescent="0.3">
      <c r="A118" s="25"/>
      <c r="B118" s="25"/>
      <c r="C118" s="25"/>
      <c r="D118" s="25"/>
      <c r="E118" s="25"/>
      <c r="F118" s="25"/>
      <c r="G118" s="25"/>
      <c r="H118" s="25"/>
      <c r="I118" s="25"/>
      <c r="J118" s="25"/>
      <c r="K118" s="25"/>
      <c r="L118" s="25"/>
      <c r="M118" s="25"/>
      <c r="N118" s="25"/>
      <c r="O118" s="25"/>
      <c r="P118" s="25"/>
      <c r="Q118" s="25"/>
      <c r="R118" s="25"/>
      <c r="S118" s="25"/>
      <c r="T118" s="25"/>
      <c r="U118" s="25"/>
      <c r="V118" s="25"/>
      <c r="W118" s="17" t="s">
        <v>564</v>
      </c>
      <c r="X118" s="17"/>
      <c r="Y118" s="25"/>
      <c r="Z118" s="25"/>
      <c r="AA118" s="25"/>
      <c r="AB118" s="25"/>
      <c r="AC118" s="25"/>
    </row>
    <row r="119" spans="1:29" x14ac:dyDescent="0.3">
      <c r="A119" s="25"/>
      <c r="B119" s="25"/>
      <c r="C119" s="25"/>
      <c r="D119" s="25"/>
      <c r="E119" s="25"/>
      <c r="F119" s="25"/>
      <c r="G119" s="25"/>
      <c r="H119" s="25"/>
      <c r="I119" s="25"/>
      <c r="J119" s="25"/>
      <c r="K119" s="25"/>
      <c r="L119" s="25"/>
      <c r="M119" s="25"/>
      <c r="N119" s="25"/>
      <c r="O119" s="25"/>
      <c r="P119" s="25"/>
      <c r="Q119" s="25"/>
      <c r="R119" s="25"/>
      <c r="S119" s="25"/>
      <c r="T119" s="25"/>
      <c r="U119" s="25"/>
      <c r="V119" s="25"/>
      <c r="W119" s="17" t="s">
        <v>565</v>
      </c>
      <c r="X119" s="17"/>
      <c r="Y119" s="25"/>
      <c r="Z119" s="25"/>
      <c r="AA119" s="25"/>
      <c r="AB119" s="25"/>
      <c r="AC119" s="25"/>
    </row>
    <row r="120" spans="1:29" x14ac:dyDescent="0.3">
      <c r="A120" s="25"/>
      <c r="B120" s="25"/>
      <c r="C120" s="25"/>
      <c r="D120" s="25"/>
      <c r="E120" s="25"/>
      <c r="F120" s="25"/>
      <c r="G120" s="25"/>
      <c r="H120" s="25"/>
      <c r="I120" s="25"/>
      <c r="J120" s="25"/>
      <c r="K120" s="25"/>
      <c r="L120" s="25"/>
      <c r="M120" s="25"/>
      <c r="N120" s="25"/>
      <c r="O120" s="25"/>
      <c r="P120" s="25"/>
      <c r="Q120" s="25"/>
      <c r="R120" s="25"/>
      <c r="S120" s="25"/>
      <c r="T120" s="25"/>
      <c r="U120" s="25"/>
      <c r="V120" s="25"/>
      <c r="W120" s="17" t="s">
        <v>566</v>
      </c>
      <c r="X120" s="17"/>
      <c r="Y120" s="25"/>
      <c r="Z120" s="25"/>
      <c r="AA120" s="25"/>
      <c r="AB120" s="25"/>
      <c r="AC120" s="25"/>
    </row>
    <row r="121" spans="1:29" x14ac:dyDescent="0.3">
      <c r="A121" s="25"/>
      <c r="B121" s="25"/>
      <c r="C121" s="25"/>
      <c r="D121" s="25"/>
      <c r="E121" s="25"/>
      <c r="F121" s="25"/>
      <c r="G121" s="25"/>
      <c r="H121" s="25"/>
      <c r="I121" s="25"/>
      <c r="J121" s="25"/>
      <c r="K121" s="25"/>
      <c r="L121" s="25"/>
      <c r="M121" s="25"/>
      <c r="N121" s="25"/>
      <c r="O121" s="25"/>
      <c r="P121" s="25"/>
      <c r="Q121" s="25"/>
      <c r="R121" s="25"/>
      <c r="S121" s="25"/>
      <c r="T121" s="25"/>
      <c r="U121" s="25"/>
      <c r="V121" s="25"/>
      <c r="W121" s="17" t="s">
        <v>567</v>
      </c>
      <c r="X121" s="17"/>
      <c r="Y121" s="25"/>
      <c r="Z121" s="25"/>
      <c r="AA121" s="25"/>
      <c r="AB121" s="25"/>
      <c r="AC121" s="25"/>
    </row>
    <row r="122" spans="1:29" x14ac:dyDescent="0.3">
      <c r="A122" s="25"/>
      <c r="B122" s="25"/>
      <c r="C122" s="25"/>
      <c r="D122" s="25"/>
      <c r="E122" s="25"/>
      <c r="F122" s="25"/>
      <c r="G122" s="25"/>
      <c r="H122" s="25"/>
      <c r="I122" s="25"/>
      <c r="J122" s="25"/>
      <c r="K122" s="25"/>
      <c r="L122" s="25"/>
      <c r="M122" s="25"/>
      <c r="N122" s="25"/>
      <c r="O122" s="25"/>
      <c r="P122" s="25"/>
      <c r="Q122" s="25"/>
      <c r="R122" s="25"/>
      <c r="S122" s="25"/>
      <c r="T122" s="25"/>
      <c r="U122" s="25"/>
      <c r="V122" s="25"/>
      <c r="W122" s="17" t="s">
        <v>568</v>
      </c>
      <c r="X122" s="17"/>
      <c r="Y122" s="25"/>
      <c r="Z122" s="25"/>
      <c r="AA122" s="25"/>
      <c r="AB122" s="25"/>
      <c r="AC122" s="25"/>
    </row>
    <row r="123" spans="1:29" x14ac:dyDescent="0.3">
      <c r="A123" s="25"/>
      <c r="B123" s="25"/>
      <c r="C123" s="25"/>
      <c r="D123" s="25"/>
      <c r="E123" s="25"/>
      <c r="F123" s="25"/>
      <c r="G123" s="25"/>
      <c r="H123" s="25"/>
      <c r="I123" s="25"/>
      <c r="J123" s="25"/>
      <c r="K123" s="25"/>
      <c r="L123" s="25"/>
      <c r="M123" s="25"/>
      <c r="N123" s="25"/>
      <c r="O123" s="25"/>
      <c r="P123" s="25"/>
      <c r="Q123" s="25"/>
      <c r="R123" s="25"/>
      <c r="S123" s="25"/>
      <c r="T123" s="25"/>
      <c r="U123" s="25"/>
      <c r="V123" s="25"/>
      <c r="W123" s="17" t="s">
        <v>569</v>
      </c>
      <c r="X123" s="17"/>
      <c r="Y123" s="25"/>
      <c r="Z123" s="25"/>
      <c r="AA123" s="25"/>
      <c r="AB123" s="25"/>
      <c r="AC123" s="25"/>
    </row>
    <row r="124" spans="1:29" x14ac:dyDescent="0.3">
      <c r="A124" s="25"/>
      <c r="B124" s="25"/>
      <c r="C124" s="25"/>
      <c r="D124" s="25"/>
      <c r="E124" s="25"/>
      <c r="F124" s="25"/>
      <c r="G124" s="25"/>
      <c r="H124" s="25"/>
      <c r="I124" s="25"/>
      <c r="J124" s="25"/>
      <c r="K124" s="25"/>
      <c r="L124" s="25"/>
      <c r="M124" s="25"/>
      <c r="N124" s="25"/>
      <c r="O124" s="25"/>
      <c r="P124" s="25"/>
      <c r="Q124" s="25"/>
      <c r="R124" s="25"/>
      <c r="S124" s="25"/>
      <c r="T124" s="25"/>
      <c r="U124" s="25"/>
      <c r="V124" s="25"/>
      <c r="W124" s="17" t="s">
        <v>570</v>
      </c>
      <c r="X124" s="17"/>
      <c r="Y124" s="25"/>
      <c r="Z124" s="25"/>
      <c r="AA124" s="25"/>
      <c r="AB124" s="25"/>
      <c r="AC124" s="25"/>
    </row>
    <row r="125" spans="1:29" x14ac:dyDescent="0.3">
      <c r="A125" s="25"/>
      <c r="B125" s="25"/>
      <c r="C125" s="25"/>
      <c r="D125" s="25"/>
      <c r="E125" s="25"/>
      <c r="F125" s="25"/>
      <c r="G125" s="25"/>
      <c r="H125" s="25"/>
      <c r="I125" s="25"/>
      <c r="J125" s="25"/>
      <c r="K125" s="25"/>
      <c r="L125" s="25"/>
      <c r="M125" s="25"/>
      <c r="N125" s="25"/>
      <c r="O125" s="25"/>
      <c r="P125" s="25"/>
      <c r="Q125" s="25"/>
      <c r="R125" s="25"/>
      <c r="S125" s="25"/>
      <c r="T125" s="25"/>
      <c r="U125" s="25"/>
      <c r="V125" s="25"/>
      <c r="W125" s="17" t="s">
        <v>571</v>
      </c>
      <c r="X125" s="17"/>
      <c r="Y125" s="25"/>
      <c r="Z125" s="25"/>
      <c r="AA125" s="25"/>
      <c r="AB125" s="25"/>
      <c r="AC125" s="25"/>
    </row>
    <row r="126" spans="1:29" x14ac:dyDescent="0.3">
      <c r="A126" s="25"/>
      <c r="B126" s="25"/>
      <c r="C126" s="25"/>
      <c r="D126" s="25"/>
      <c r="E126" s="25"/>
      <c r="F126" s="25"/>
      <c r="G126" s="25"/>
      <c r="H126" s="25"/>
      <c r="I126" s="25"/>
      <c r="J126" s="25"/>
      <c r="K126" s="25"/>
      <c r="L126" s="25"/>
      <c r="M126" s="25"/>
      <c r="N126" s="25"/>
      <c r="O126" s="25"/>
      <c r="P126" s="25"/>
      <c r="Q126" s="25"/>
      <c r="R126" s="25"/>
      <c r="S126" s="25"/>
      <c r="T126" s="25"/>
      <c r="U126" s="25"/>
      <c r="V126" s="25"/>
      <c r="W126" s="17" t="s">
        <v>572</v>
      </c>
      <c r="X126" s="17"/>
      <c r="Y126" s="25"/>
      <c r="Z126" s="25"/>
      <c r="AA126" s="25"/>
      <c r="AB126" s="25"/>
      <c r="AC126" s="25"/>
    </row>
    <row r="127" spans="1:29" x14ac:dyDescent="0.3">
      <c r="A127" s="25"/>
      <c r="B127" s="25"/>
      <c r="C127" s="25"/>
      <c r="D127" s="25"/>
      <c r="E127" s="25"/>
      <c r="F127" s="25"/>
      <c r="G127" s="25"/>
      <c r="H127" s="25"/>
      <c r="I127" s="25"/>
      <c r="J127" s="25"/>
      <c r="K127" s="25"/>
      <c r="L127" s="25"/>
      <c r="M127" s="25"/>
      <c r="N127" s="25"/>
      <c r="O127" s="25"/>
      <c r="P127" s="25"/>
      <c r="Q127" s="25"/>
      <c r="R127" s="25"/>
      <c r="S127" s="25"/>
      <c r="T127" s="25"/>
      <c r="U127" s="25"/>
      <c r="V127" s="25"/>
      <c r="W127" s="17" t="s">
        <v>573</v>
      </c>
      <c r="X127" s="17"/>
      <c r="Y127" s="25"/>
      <c r="Z127" s="25"/>
      <c r="AA127" s="25"/>
      <c r="AB127" s="25"/>
      <c r="AC127" s="25"/>
    </row>
    <row r="128" spans="1:29" x14ac:dyDescent="0.3">
      <c r="A128" s="25"/>
      <c r="B128" s="25"/>
      <c r="C128" s="25"/>
      <c r="D128" s="25"/>
      <c r="E128" s="25"/>
      <c r="F128" s="25"/>
      <c r="G128" s="25"/>
      <c r="H128" s="25"/>
      <c r="I128" s="25"/>
      <c r="J128" s="25"/>
      <c r="K128" s="25"/>
      <c r="L128" s="25"/>
      <c r="M128" s="25"/>
      <c r="N128" s="25"/>
      <c r="O128" s="25"/>
      <c r="P128" s="25"/>
      <c r="Q128" s="25"/>
      <c r="R128" s="25"/>
      <c r="S128" s="25"/>
      <c r="T128" s="25"/>
      <c r="U128" s="25"/>
      <c r="V128" s="25"/>
      <c r="W128" s="17" t="s">
        <v>574</v>
      </c>
      <c r="X128" s="17"/>
      <c r="Y128" s="25"/>
      <c r="Z128" s="25"/>
      <c r="AA128" s="25"/>
      <c r="AB128" s="25"/>
      <c r="AC128" s="25"/>
    </row>
    <row r="129" spans="1:29" x14ac:dyDescent="0.3">
      <c r="A129" s="25"/>
      <c r="B129" s="25"/>
      <c r="C129" s="25"/>
      <c r="D129" s="25"/>
      <c r="E129" s="25"/>
      <c r="F129" s="25"/>
      <c r="G129" s="25"/>
      <c r="H129" s="25"/>
      <c r="I129" s="25"/>
      <c r="J129" s="25"/>
      <c r="K129" s="25"/>
      <c r="L129" s="25"/>
      <c r="M129" s="25"/>
      <c r="N129" s="25"/>
      <c r="O129" s="25"/>
      <c r="P129" s="25"/>
      <c r="Q129" s="25"/>
      <c r="R129" s="25"/>
      <c r="S129" s="25"/>
      <c r="T129" s="25"/>
      <c r="U129" s="25"/>
      <c r="V129" s="25"/>
      <c r="W129" s="17" t="s">
        <v>575</v>
      </c>
      <c r="X129" s="17"/>
      <c r="Y129" s="25"/>
      <c r="Z129" s="25"/>
      <c r="AA129" s="25"/>
      <c r="AB129" s="25"/>
      <c r="AC129" s="25"/>
    </row>
    <row r="130" spans="1:29" x14ac:dyDescent="0.3">
      <c r="A130" s="25"/>
      <c r="B130" s="25"/>
      <c r="C130" s="25"/>
      <c r="D130" s="25"/>
      <c r="E130" s="25"/>
      <c r="F130" s="25"/>
      <c r="G130" s="25"/>
      <c r="H130" s="25"/>
      <c r="I130" s="25"/>
      <c r="J130" s="25"/>
      <c r="K130" s="25"/>
      <c r="L130" s="25"/>
      <c r="M130" s="25"/>
      <c r="N130" s="25"/>
      <c r="O130" s="25"/>
      <c r="P130" s="25"/>
      <c r="Q130" s="25"/>
      <c r="R130" s="25"/>
      <c r="S130" s="25"/>
      <c r="T130" s="25"/>
      <c r="U130" s="25"/>
      <c r="V130" s="25"/>
      <c r="W130" s="17" t="s">
        <v>576</v>
      </c>
      <c r="X130" s="17"/>
      <c r="Y130" s="25"/>
      <c r="Z130" s="25"/>
      <c r="AA130" s="25"/>
      <c r="AB130" s="25"/>
      <c r="AC130" s="25"/>
    </row>
    <row r="131" spans="1:29" x14ac:dyDescent="0.3">
      <c r="A131" s="25"/>
      <c r="B131" s="25"/>
      <c r="C131" s="25"/>
      <c r="D131" s="25"/>
      <c r="E131" s="25"/>
      <c r="F131" s="25"/>
      <c r="G131" s="25"/>
      <c r="H131" s="25"/>
      <c r="I131" s="25"/>
      <c r="J131" s="25"/>
      <c r="K131" s="25"/>
      <c r="L131" s="25"/>
      <c r="M131" s="25"/>
      <c r="N131" s="25"/>
      <c r="O131" s="25"/>
      <c r="P131" s="25"/>
      <c r="Q131" s="25"/>
      <c r="R131" s="25"/>
      <c r="S131" s="25"/>
      <c r="T131" s="25"/>
      <c r="U131" s="25"/>
      <c r="V131" s="25"/>
      <c r="W131" s="17" t="s">
        <v>577</v>
      </c>
      <c r="X131" s="17"/>
      <c r="Y131" s="25"/>
      <c r="Z131" s="25"/>
      <c r="AA131" s="25"/>
      <c r="AB131" s="25"/>
      <c r="AC131" s="25"/>
    </row>
    <row r="132" spans="1:29" x14ac:dyDescent="0.3">
      <c r="A132" s="25"/>
      <c r="B132" s="25"/>
      <c r="C132" s="25"/>
      <c r="D132" s="25"/>
      <c r="E132" s="25"/>
      <c r="F132" s="25"/>
      <c r="G132" s="25"/>
      <c r="H132" s="25"/>
      <c r="I132" s="25"/>
      <c r="J132" s="25"/>
      <c r="K132" s="25"/>
      <c r="L132" s="25"/>
      <c r="M132" s="25"/>
      <c r="N132" s="25"/>
      <c r="O132" s="25"/>
      <c r="P132" s="25"/>
      <c r="Q132" s="25"/>
      <c r="R132" s="25"/>
      <c r="S132" s="25"/>
      <c r="T132" s="25"/>
      <c r="U132" s="25"/>
      <c r="V132" s="25"/>
      <c r="W132" s="17" t="s">
        <v>578</v>
      </c>
      <c r="X132" s="17"/>
      <c r="Y132" s="25"/>
      <c r="Z132" s="25"/>
      <c r="AA132" s="25"/>
      <c r="AB132" s="25"/>
      <c r="AC132" s="25"/>
    </row>
    <row r="133" spans="1:29" x14ac:dyDescent="0.3">
      <c r="A133" s="25"/>
      <c r="B133" s="25"/>
      <c r="C133" s="25"/>
      <c r="D133" s="25"/>
      <c r="E133" s="25"/>
      <c r="F133" s="25"/>
      <c r="G133" s="25"/>
      <c r="H133" s="25"/>
      <c r="I133" s="25"/>
      <c r="J133" s="25"/>
      <c r="K133" s="25"/>
      <c r="L133" s="25"/>
      <c r="M133" s="25"/>
      <c r="N133" s="25"/>
      <c r="O133" s="25"/>
      <c r="P133" s="25"/>
      <c r="Q133" s="25"/>
      <c r="R133" s="25"/>
      <c r="S133" s="25"/>
      <c r="T133" s="25"/>
      <c r="U133" s="25"/>
      <c r="V133" s="25"/>
      <c r="W133" s="17" t="s">
        <v>579</v>
      </c>
      <c r="X133" s="17"/>
      <c r="Y133" s="25"/>
      <c r="Z133" s="25"/>
      <c r="AA133" s="25"/>
      <c r="AB133" s="25"/>
      <c r="AC133" s="25"/>
    </row>
    <row r="134" spans="1:29" x14ac:dyDescent="0.3">
      <c r="A134" s="25"/>
      <c r="B134" s="25"/>
      <c r="C134" s="25"/>
      <c r="D134" s="25"/>
      <c r="E134" s="25"/>
      <c r="F134" s="25"/>
      <c r="G134" s="25"/>
      <c r="H134" s="25"/>
      <c r="I134" s="25"/>
      <c r="J134" s="25"/>
      <c r="K134" s="25"/>
      <c r="L134" s="25"/>
      <c r="M134" s="25"/>
      <c r="N134" s="25"/>
      <c r="O134" s="25"/>
      <c r="P134" s="25"/>
      <c r="Q134" s="25"/>
      <c r="R134" s="25"/>
      <c r="S134" s="25"/>
      <c r="T134" s="25"/>
      <c r="U134" s="25"/>
      <c r="V134" s="25"/>
      <c r="W134" s="17" t="s">
        <v>580</v>
      </c>
      <c r="X134" s="17"/>
      <c r="Y134" s="25"/>
      <c r="Z134" s="25"/>
      <c r="AA134" s="25"/>
      <c r="AB134" s="25"/>
      <c r="AC134" s="25"/>
    </row>
    <row r="135" spans="1:29" x14ac:dyDescent="0.3">
      <c r="A135" s="25"/>
      <c r="B135" s="25"/>
      <c r="C135" s="25"/>
      <c r="D135" s="25"/>
      <c r="E135" s="25"/>
      <c r="F135" s="25"/>
      <c r="G135" s="25"/>
      <c r="H135" s="25"/>
      <c r="I135" s="25"/>
      <c r="J135" s="25"/>
      <c r="K135" s="25"/>
      <c r="L135" s="25"/>
      <c r="M135" s="25"/>
      <c r="N135" s="25"/>
      <c r="O135" s="25"/>
      <c r="P135" s="25"/>
      <c r="Q135" s="25"/>
      <c r="R135" s="25"/>
      <c r="S135" s="25"/>
      <c r="T135" s="25"/>
      <c r="U135" s="25"/>
      <c r="V135" s="25"/>
      <c r="W135" s="17" t="s">
        <v>581</v>
      </c>
      <c r="X135" s="17"/>
      <c r="Y135" s="25"/>
      <c r="Z135" s="25"/>
      <c r="AA135" s="25"/>
      <c r="AB135" s="25"/>
      <c r="AC135" s="25"/>
    </row>
    <row r="136" spans="1:29" x14ac:dyDescent="0.3">
      <c r="A136" s="25"/>
      <c r="B136" s="25"/>
      <c r="C136" s="25"/>
      <c r="D136" s="25"/>
      <c r="E136" s="25"/>
      <c r="F136" s="25"/>
      <c r="G136" s="25"/>
      <c r="H136" s="25"/>
      <c r="I136" s="25"/>
      <c r="J136" s="25"/>
      <c r="K136" s="25"/>
      <c r="L136" s="25"/>
      <c r="M136" s="25"/>
      <c r="N136" s="25"/>
      <c r="O136" s="25"/>
      <c r="P136" s="25"/>
      <c r="Q136" s="25"/>
      <c r="R136" s="25"/>
      <c r="S136" s="25"/>
      <c r="T136" s="25"/>
      <c r="U136" s="25"/>
      <c r="V136" s="25"/>
      <c r="W136" s="17" t="s">
        <v>582</v>
      </c>
      <c r="X136" s="17"/>
      <c r="Y136" s="25"/>
      <c r="Z136" s="25"/>
      <c r="AA136" s="25"/>
      <c r="AB136" s="25"/>
      <c r="AC136" s="25"/>
    </row>
    <row r="137" spans="1:29" x14ac:dyDescent="0.3">
      <c r="A137" s="25"/>
      <c r="B137" s="25"/>
      <c r="C137" s="25"/>
      <c r="D137" s="25"/>
      <c r="E137" s="25"/>
      <c r="F137" s="25"/>
      <c r="G137" s="25"/>
      <c r="H137" s="25"/>
      <c r="I137" s="25"/>
      <c r="J137" s="25"/>
      <c r="K137" s="25"/>
      <c r="L137" s="25"/>
      <c r="M137" s="25"/>
      <c r="N137" s="25"/>
      <c r="O137" s="25"/>
      <c r="P137" s="25"/>
      <c r="Q137" s="25"/>
      <c r="R137" s="25"/>
      <c r="S137" s="25"/>
      <c r="T137" s="25"/>
      <c r="U137" s="25"/>
      <c r="V137" s="25"/>
      <c r="W137" s="17" t="s">
        <v>583</v>
      </c>
      <c r="X137" s="17"/>
      <c r="Y137" s="25"/>
      <c r="Z137" s="25"/>
      <c r="AA137" s="25"/>
      <c r="AB137" s="25"/>
      <c r="AC137" s="25"/>
    </row>
    <row r="138" spans="1:29" x14ac:dyDescent="0.3">
      <c r="A138" s="25"/>
      <c r="B138" s="25"/>
      <c r="C138" s="25"/>
      <c r="D138" s="25"/>
      <c r="E138" s="25"/>
      <c r="F138" s="25"/>
      <c r="G138" s="25"/>
      <c r="H138" s="25"/>
      <c r="I138" s="25"/>
      <c r="J138" s="25"/>
      <c r="K138" s="25"/>
      <c r="L138" s="25"/>
      <c r="M138" s="25"/>
      <c r="N138" s="25"/>
      <c r="O138" s="25"/>
      <c r="P138" s="25"/>
      <c r="Q138" s="25"/>
      <c r="R138" s="25"/>
      <c r="S138" s="25"/>
      <c r="T138" s="25"/>
      <c r="U138" s="25"/>
      <c r="V138" s="25"/>
      <c r="W138" s="17" t="s">
        <v>584</v>
      </c>
      <c r="X138" s="17"/>
      <c r="Y138" s="25"/>
      <c r="Z138" s="25"/>
      <c r="AA138" s="25"/>
      <c r="AB138" s="25"/>
      <c r="AC138" s="25"/>
    </row>
    <row r="139" spans="1:29" x14ac:dyDescent="0.3">
      <c r="A139" s="25"/>
      <c r="B139" s="25"/>
      <c r="C139" s="25"/>
      <c r="D139" s="25"/>
      <c r="E139" s="25"/>
      <c r="F139" s="25"/>
      <c r="G139" s="25"/>
      <c r="H139" s="25"/>
      <c r="I139" s="25"/>
      <c r="J139" s="25"/>
      <c r="K139" s="25"/>
      <c r="L139" s="25"/>
      <c r="M139" s="25"/>
      <c r="N139" s="25"/>
      <c r="O139" s="25"/>
      <c r="P139" s="25"/>
      <c r="Q139" s="25"/>
      <c r="R139" s="25"/>
      <c r="S139" s="25"/>
      <c r="T139" s="25"/>
      <c r="U139" s="25"/>
      <c r="V139" s="25"/>
      <c r="W139" s="17" t="s">
        <v>585</v>
      </c>
      <c r="X139" s="17"/>
      <c r="Y139" s="25"/>
      <c r="Z139" s="25"/>
      <c r="AA139" s="25"/>
      <c r="AB139" s="25"/>
      <c r="AC139" s="25"/>
    </row>
    <row r="140" spans="1:29" x14ac:dyDescent="0.3">
      <c r="A140" s="25"/>
      <c r="B140" s="25"/>
      <c r="C140" s="25"/>
      <c r="D140" s="25"/>
      <c r="E140" s="25"/>
      <c r="F140" s="25"/>
      <c r="G140" s="25"/>
      <c r="H140" s="25"/>
      <c r="I140" s="25"/>
      <c r="J140" s="25"/>
      <c r="K140" s="25"/>
      <c r="L140" s="25"/>
      <c r="M140" s="25"/>
      <c r="N140" s="25"/>
      <c r="O140" s="25"/>
      <c r="P140" s="25"/>
      <c r="Q140" s="25"/>
      <c r="R140" s="25"/>
      <c r="S140" s="25"/>
      <c r="T140" s="25"/>
      <c r="U140" s="25"/>
      <c r="V140" s="25"/>
      <c r="W140" s="17" t="s">
        <v>586</v>
      </c>
      <c r="X140" s="17"/>
      <c r="Y140" s="25"/>
      <c r="Z140" s="25"/>
      <c r="AA140" s="25"/>
      <c r="AB140" s="25"/>
      <c r="AC140" s="25"/>
    </row>
    <row r="141" spans="1:29" x14ac:dyDescent="0.3">
      <c r="A141" s="25"/>
      <c r="B141" s="25"/>
      <c r="C141" s="25"/>
      <c r="D141" s="25"/>
      <c r="E141" s="25"/>
      <c r="F141" s="25"/>
      <c r="G141" s="25"/>
      <c r="H141" s="25"/>
      <c r="I141" s="25"/>
      <c r="J141" s="25"/>
      <c r="K141" s="25"/>
      <c r="L141" s="25"/>
      <c r="M141" s="25"/>
      <c r="N141" s="25"/>
      <c r="O141" s="25"/>
      <c r="P141" s="25"/>
      <c r="Q141" s="25"/>
      <c r="R141" s="25"/>
      <c r="S141" s="25"/>
      <c r="T141" s="25"/>
      <c r="U141" s="25"/>
      <c r="V141" s="25"/>
      <c r="W141" s="17" t="s">
        <v>587</v>
      </c>
      <c r="X141" s="17"/>
      <c r="Y141" s="25"/>
      <c r="Z141" s="25"/>
      <c r="AA141" s="25"/>
      <c r="AB141" s="25"/>
      <c r="AC141" s="25"/>
    </row>
    <row r="142" spans="1:29" x14ac:dyDescent="0.3">
      <c r="A142" s="25"/>
      <c r="B142" s="25"/>
      <c r="C142" s="25"/>
      <c r="D142" s="25"/>
      <c r="E142" s="25"/>
      <c r="F142" s="25"/>
      <c r="G142" s="25"/>
      <c r="H142" s="25"/>
      <c r="I142" s="25"/>
      <c r="J142" s="25"/>
      <c r="K142" s="25"/>
      <c r="L142" s="25"/>
      <c r="M142" s="25"/>
      <c r="N142" s="25"/>
      <c r="O142" s="25"/>
      <c r="P142" s="25"/>
      <c r="Q142" s="25"/>
      <c r="R142" s="25"/>
      <c r="S142" s="25"/>
      <c r="T142" s="25"/>
      <c r="U142" s="25"/>
      <c r="V142" s="25"/>
      <c r="W142" s="17" t="s">
        <v>588</v>
      </c>
      <c r="X142" s="17"/>
      <c r="Y142" s="25"/>
      <c r="Z142" s="25"/>
      <c r="AA142" s="25"/>
      <c r="AB142" s="25"/>
      <c r="AC142" s="25"/>
    </row>
    <row r="143" spans="1:29" x14ac:dyDescent="0.3">
      <c r="A143" s="25"/>
      <c r="B143" s="25"/>
      <c r="C143" s="25"/>
      <c r="D143" s="25"/>
      <c r="E143" s="25"/>
      <c r="F143" s="25"/>
      <c r="G143" s="25"/>
      <c r="H143" s="25"/>
      <c r="I143" s="25"/>
      <c r="J143" s="25"/>
      <c r="K143" s="25"/>
      <c r="L143" s="25"/>
      <c r="M143" s="25"/>
      <c r="N143" s="25"/>
      <c r="O143" s="25"/>
      <c r="P143" s="25"/>
      <c r="Q143" s="25"/>
      <c r="R143" s="25"/>
      <c r="S143" s="25"/>
      <c r="T143" s="25"/>
      <c r="U143" s="25"/>
      <c r="V143" s="25"/>
      <c r="W143" s="17" t="s">
        <v>589</v>
      </c>
      <c r="X143" s="17"/>
      <c r="Y143" s="25"/>
      <c r="Z143" s="25"/>
      <c r="AA143" s="25"/>
      <c r="AB143" s="25"/>
      <c r="AC143" s="25"/>
    </row>
    <row r="144" spans="1:29" x14ac:dyDescent="0.3">
      <c r="A144" s="25"/>
      <c r="B144" s="25"/>
      <c r="C144" s="25"/>
      <c r="D144" s="25"/>
      <c r="E144" s="25"/>
      <c r="F144" s="25"/>
      <c r="G144" s="25"/>
      <c r="H144" s="25"/>
      <c r="I144" s="25"/>
      <c r="J144" s="25"/>
      <c r="K144" s="25"/>
      <c r="L144" s="25"/>
      <c r="M144" s="25"/>
      <c r="N144" s="25"/>
      <c r="O144" s="25"/>
      <c r="P144" s="25"/>
      <c r="Q144" s="25"/>
      <c r="R144" s="25"/>
      <c r="S144" s="25"/>
      <c r="T144" s="25"/>
      <c r="U144" s="25"/>
      <c r="V144" s="25"/>
      <c r="W144" s="17" t="s">
        <v>590</v>
      </c>
      <c r="X144" s="17"/>
      <c r="Y144" s="25"/>
      <c r="Z144" s="25"/>
      <c r="AA144" s="25"/>
      <c r="AB144" s="25"/>
      <c r="AC144" s="25"/>
    </row>
    <row r="145" spans="1:29" x14ac:dyDescent="0.3">
      <c r="A145" s="25"/>
      <c r="B145" s="25"/>
      <c r="C145" s="25"/>
      <c r="D145" s="25"/>
      <c r="E145" s="25"/>
      <c r="F145" s="25"/>
      <c r="G145" s="25"/>
      <c r="H145" s="25"/>
      <c r="I145" s="25"/>
      <c r="J145" s="25"/>
      <c r="K145" s="25"/>
      <c r="L145" s="25"/>
      <c r="M145" s="25"/>
      <c r="N145" s="25"/>
      <c r="O145" s="25"/>
      <c r="P145" s="25"/>
      <c r="Q145" s="25"/>
      <c r="R145" s="25"/>
      <c r="S145" s="25"/>
      <c r="T145" s="25"/>
      <c r="U145" s="25"/>
      <c r="V145" s="25"/>
      <c r="W145" s="17" t="s">
        <v>591</v>
      </c>
      <c r="X145" s="17"/>
      <c r="Y145" s="25"/>
      <c r="Z145" s="25"/>
      <c r="AA145" s="25"/>
      <c r="AB145" s="25"/>
      <c r="AC145" s="25"/>
    </row>
    <row r="146" spans="1:29" x14ac:dyDescent="0.3">
      <c r="A146" s="25"/>
      <c r="B146" s="25"/>
      <c r="C146" s="25"/>
      <c r="D146" s="25"/>
      <c r="E146" s="25"/>
      <c r="F146" s="25"/>
      <c r="G146" s="25"/>
      <c r="H146" s="25"/>
      <c r="I146" s="25"/>
      <c r="J146" s="25"/>
      <c r="K146" s="25"/>
      <c r="L146" s="25"/>
      <c r="M146" s="25"/>
      <c r="N146" s="25"/>
      <c r="O146" s="25"/>
      <c r="P146" s="25"/>
      <c r="Q146" s="25"/>
      <c r="R146" s="25"/>
      <c r="S146" s="25"/>
      <c r="T146" s="25"/>
      <c r="U146" s="25"/>
      <c r="V146" s="25"/>
      <c r="W146" s="17" t="s">
        <v>592</v>
      </c>
      <c r="X146" s="17"/>
      <c r="Y146" s="25"/>
      <c r="Z146" s="25"/>
      <c r="AA146" s="25"/>
      <c r="AB146" s="25"/>
      <c r="AC146" s="25"/>
    </row>
    <row r="147" spans="1:29" x14ac:dyDescent="0.3">
      <c r="A147" s="25"/>
      <c r="B147" s="25"/>
      <c r="C147" s="25"/>
      <c r="D147" s="25"/>
      <c r="E147" s="25"/>
      <c r="F147" s="25"/>
      <c r="G147" s="25"/>
      <c r="H147" s="25"/>
      <c r="I147" s="25"/>
      <c r="J147" s="25"/>
      <c r="K147" s="25"/>
      <c r="L147" s="25"/>
      <c r="M147" s="25"/>
      <c r="N147" s="25"/>
      <c r="O147" s="25"/>
      <c r="P147" s="25"/>
      <c r="Q147" s="25"/>
      <c r="R147" s="25"/>
      <c r="S147" s="25"/>
      <c r="T147" s="25"/>
      <c r="U147" s="25"/>
      <c r="V147" s="25"/>
      <c r="W147" s="17" t="s">
        <v>593</v>
      </c>
      <c r="X147" s="17"/>
      <c r="Y147" s="25"/>
      <c r="Z147" s="25"/>
      <c r="AA147" s="25"/>
      <c r="AB147" s="25"/>
      <c r="AC147" s="25"/>
    </row>
    <row r="148" spans="1:29" x14ac:dyDescent="0.3">
      <c r="A148" s="25"/>
      <c r="B148" s="25"/>
      <c r="C148" s="25"/>
      <c r="D148" s="25"/>
      <c r="E148" s="25"/>
      <c r="F148" s="25"/>
      <c r="G148" s="25"/>
      <c r="H148" s="25"/>
      <c r="I148" s="25"/>
      <c r="J148" s="25"/>
      <c r="K148" s="25"/>
      <c r="L148" s="25"/>
      <c r="M148" s="25"/>
      <c r="N148" s="25"/>
      <c r="O148" s="25"/>
      <c r="P148" s="25"/>
      <c r="Q148" s="25"/>
      <c r="R148" s="25"/>
      <c r="S148" s="25"/>
      <c r="T148" s="25"/>
      <c r="U148" s="25"/>
      <c r="V148" s="25"/>
      <c r="W148" s="17" t="s">
        <v>594</v>
      </c>
      <c r="X148" s="17"/>
      <c r="Y148" s="25"/>
      <c r="Z148" s="25"/>
      <c r="AA148" s="25"/>
      <c r="AB148" s="25"/>
      <c r="AC148" s="25"/>
    </row>
    <row r="149" spans="1:29" x14ac:dyDescent="0.3">
      <c r="A149" s="25"/>
      <c r="B149" s="25"/>
      <c r="C149" s="25"/>
      <c r="D149" s="25"/>
      <c r="E149" s="25"/>
      <c r="F149" s="25"/>
      <c r="G149" s="25"/>
      <c r="H149" s="25"/>
      <c r="I149" s="25"/>
      <c r="J149" s="25"/>
      <c r="K149" s="25"/>
      <c r="L149" s="25"/>
      <c r="M149" s="25"/>
      <c r="N149" s="25"/>
      <c r="O149" s="25"/>
      <c r="P149" s="25"/>
      <c r="Q149" s="25"/>
      <c r="R149" s="25"/>
      <c r="S149" s="25"/>
      <c r="T149" s="25"/>
      <c r="U149" s="25"/>
      <c r="V149" s="25"/>
      <c r="W149" s="17" t="s">
        <v>595</v>
      </c>
      <c r="X149" s="17"/>
      <c r="Y149" s="25"/>
      <c r="Z149" s="25"/>
      <c r="AA149" s="25"/>
      <c r="AB149" s="25"/>
      <c r="AC149" s="25"/>
    </row>
    <row r="150" spans="1:29" x14ac:dyDescent="0.3">
      <c r="A150" s="25"/>
      <c r="B150" s="25"/>
      <c r="C150" s="25"/>
      <c r="D150" s="25"/>
      <c r="E150" s="25"/>
      <c r="F150" s="25"/>
      <c r="G150" s="25"/>
      <c r="H150" s="25"/>
      <c r="I150" s="25"/>
      <c r="J150" s="25"/>
      <c r="K150" s="25"/>
      <c r="L150" s="25"/>
      <c r="M150" s="25"/>
      <c r="N150" s="25"/>
      <c r="O150" s="25"/>
      <c r="P150" s="25"/>
      <c r="Q150" s="25"/>
      <c r="R150" s="25"/>
      <c r="S150" s="25"/>
      <c r="T150" s="25"/>
      <c r="U150" s="25"/>
      <c r="V150" s="25"/>
      <c r="W150" s="17" t="s">
        <v>596</v>
      </c>
      <c r="X150" s="17"/>
      <c r="Y150" s="25"/>
      <c r="Z150" s="25"/>
      <c r="AA150" s="25"/>
      <c r="AB150" s="25"/>
      <c r="AC150" s="25"/>
    </row>
    <row r="151" spans="1:29" x14ac:dyDescent="0.3">
      <c r="A151" s="25"/>
      <c r="B151" s="25"/>
      <c r="C151" s="25"/>
      <c r="D151" s="25"/>
      <c r="E151" s="25"/>
      <c r="F151" s="25"/>
      <c r="G151" s="25"/>
      <c r="H151" s="25"/>
      <c r="I151" s="25"/>
      <c r="J151" s="25"/>
      <c r="K151" s="25"/>
      <c r="L151" s="25"/>
      <c r="M151" s="25"/>
      <c r="N151" s="25"/>
      <c r="O151" s="25"/>
      <c r="P151" s="25"/>
      <c r="Q151" s="25"/>
      <c r="R151" s="25"/>
      <c r="S151" s="25"/>
      <c r="T151" s="25"/>
      <c r="U151" s="25"/>
      <c r="V151" s="25"/>
      <c r="W151" s="17" t="s">
        <v>597</v>
      </c>
      <c r="X151" s="17"/>
      <c r="Y151" s="25"/>
      <c r="Z151" s="25"/>
      <c r="AA151" s="25"/>
      <c r="AB151" s="25"/>
      <c r="AC151" s="25"/>
    </row>
    <row r="152" spans="1:29" x14ac:dyDescent="0.3">
      <c r="A152" s="25"/>
      <c r="B152" s="25"/>
      <c r="C152" s="25"/>
      <c r="D152" s="25"/>
      <c r="E152" s="25"/>
      <c r="F152" s="25"/>
      <c r="G152" s="25"/>
      <c r="H152" s="25"/>
      <c r="I152" s="25"/>
      <c r="J152" s="25"/>
      <c r="K152" s="25"/>
      <c r="L152" s="25"/>
      <c r="M152" s="25"/>
      <c r="N152" s="25"/>
      <c r="O152" s="25"/>
      <c r="P152" s="25"/>
      <c r="Q152" s="25"/>
      <c r="R152" s="25"/>
      <c r="S152" s="25"/>
      <c r="T152" s="25"/>
      <c r="U152" s="25"/>
      <c r="V152" s="25"/>
      <c r="W152" s="17" t="s">
        <v>598</v>
      </c>
      <c r="X152" s="17"/>
      <c r="Y152" s="25"/>
      <c r="Z152" s="25"/>
      <c r="AA152" s="25"/>
      <c r="AB152" s="25"/>
      <c r="AC152" s="25"/>
    </row>
    <row r="153" spans="1:29" x14ac:dyDescent="0.3">
      <c r="A153" s="25"/>
      <c r="B153" s="25"/>
      <c r="C153" s="25"/>
      <c r="D153" s="25"/>
      <c r="E153" s="25"/>
      <c r="F153" s="25"/>
      <c r="G153" s="25"/>
      <c r="H153" s="25"/>
      <c r="I153" s="25"/>
      <c r="J153" s="25"/>
      <c r="K153" s="25"/>
      <c r="L153" s="25"/>
      <c r="M153" s="25"/>
      <c r="N153" s="25"/>
      <c r="O153" s="25"/>
      <c r="P153" s="25"/>
      <c r="Q153" s="25"/>
      <c r="R153" s="25"/>
      <c r="S153" s="25"/>
      <c r="T153" s="25"/>
      <c r="U153" s="25"/>
      <c r="V153" s="25"/>
      <c r="W153" s="17" t="s">
        <v>599</v>
      </c>
      <c r="X153" s="17"/>
      <c r="Y153" s="25"/>
      <c r="Z153" s="25"/>
      <c r="AA153" s="25"/>
      <c r="AB153" s="25"/>
      <c r="AC153" s="25"/>
    </row>
    <row r="154" spans="1:29" x14ac:dyDescent="0.3">
      <c r="A154" s="25"/>
      <c r="B154" s="25"/>
      <c r="C154" s="25"/>
      <c r="D154" s="25"/>
      <c r="E154" s="25"/>
      <c r="F154" s="25"/>
      <c r="G154" s="25"/>
      <c r="H154" s="25"/>
      <c r="I154" s="25"/>
      <c r="J154" s="25"/>
      <c r="K154" s="25"/>
      <c r="L154" s="25"/>
      <c r="M154" s="25"/>
      <c r="N154" s="25"/>
      <c r="O154" s="25"/>
      <c r="P154" s="25"/>
      <c r="Q154" s="25"/>
      <c r="R154" s="25"/>
      <c r="S154" s="25"/>
      <c r="T154" s="25"/>
      <c r="U154" s="25"/>
      <c r="V154" s="25"/>
      <c r="W154" s="17" t="s">
        <v>600</v>
      </c>
      <c r="X154" s="17"/>
      <c r="Y154" s="25"/>
      <c r="Z154" s="25"/>
      <c r="AA154" s="25"/>
      <c r="AB154" s="25"/>
      <c r="AC154" s="25"/>
    </row>
    <row r="155" spans="1:29" x14ac:dyDescent="0.3">
      <c r="A155" s="25"/>
      <c r="B155" s="25"/>
      <c r="C155" s="25"/>
      <c r="D155" s="25"/>
      <c r="E155" s="25"/>
      <c r="F155" s="25"/>
      <c r="G155" s="25"/>
      <c r="H155" s="25"/>
      <c r="I155" s="25"/>
      <c r="J155" s="25"/>
      <c r="K155" s="25"/>
      <c r="L155" s="25"/>
      <c r="M155" s="25"/>
      <c r="N155" s="25"/>
      <c r="O155" s="25"/>
      <c r="P155" s="25"/>
      <c r="Q155" s="25"/>
      <c r="R155" s="25"/>
      <c r="S155" s="25"/>
      <c r="T155" s="25"/>
      <c r="U155" s="25"/>
      <c r="V155" s="25"/>
      <c r="W155" s="17" t="s">
        <v>601</v>
      </c>
      <c r="X155" s="17"/>
      <c r="Y155" s="25"/>
      <c r="Z155" s="25"/>
      <c r="AA155" s="25"/>
      <c r="AB155" s="25"/>
      <c r="AC155" s="25"/>
    </row>
    <row r="156" spans="1:29" x14ac:dyDescent="0.3">
      <c r="A156" s="25"/>
      <c r="B156" s="25"/>
      <c r="C156" s="25"/>
      <c r="D156" s="25"/>
      <c r="E156" s="25"/>
      <c r="F156" s="25"/>
      <c r="G156" s="25"/>
      <c r="H156" s="25"/>
      <c r="I156" s="25"/>
      <c r="J156" s="25"/>
      <c r="K156" s="25"/>
      <c r="L156" s="25"/>
      <c r="M156" s="25"/>
      <c r="N156" s="25"/>
      <c r="O156" s="25"/>
      <c r="P156" s="25"/>
      <c r="Q156" s="25"/>
      <c r="R156" s="25"/>
      <c r="S156" s="25"/>
      <c r="T156" s="25"/>
      <c r="U156" s="25"/>
      <c r="V156" s="25"/>
      <c r="W156" s="17" t="s">
        <v>602</v>
      </c>
      <c r="X156" s="17"/>
      <c r="Y156" s="25"/>
      <c r="Z156" s="25"/>
      <c r="AA156" s="25"/>
      <c r="AB156" s="25"/>
      <c r="AC156" s="25"/>
    </row>
    <row r="157" spans="1:29" x14ac:dyDescent="0.3">
      <c r="A157" s="25"/>
      <c r="B157" s="25"/>
      <c r="C157" s="25"/>
      <c r="D157" s="25"/>
      <c r="E157" s="25"/>
      <c r="F157" s="25"/>
      <c r="G157" s="25"/>
      <c r="H157" s="25"/>
      <c r="I157" s="25"/>
      <c r="J157" s="25"/>
      <c r="K157" s="25"/>
      <c r="L157" s="25"/>
      <c r="M157" s="25"/>
      <c r="N157" s="25"/>
      <c r="O157" s="25"/>
      <c r="P157" s="25"/>
      <c r="Q157" s="25"/>
      <c r="R157" s="25"/>
      <c r="S157" s="25"/>
      <c r="T157" s="25"/>
      <c r="U157" s="25"/>
      <c r="V157" s="25"/>
      <c r="W157" s="17" t="s">
        <v>603</v>
      </c>
      <c r="X157" s="17"/>
      <c r="Y157" s="25"/>
      <c r="Z157" s="25"/>
      <c r="AA157" s="25"/>
      <c r="AB157" s="25"/>
      <c r="AC157" s="25"/>
    </row>
    <row r="158" spans="1:29" x14ac:dyDescent="0.3">
      <c r="A158" s="25"/>
      <c r="B158" s="25"/>
      <c r="C158" s="25"/>
      <c r="D158" s="25"/>
      <c r="E158" s="25"/>
      <c r="F158" s="25"/>
      <c r="G158" s="25"/>
      <c r="H158" s="25"/>
      <c r="I158" s="25"/>
      <c r="J158" s="25"/>
      <c r="K158" s="25"/>
      <c r="L158" s="25"/>
      <c r="M158" s="25"/>
      <c r="N158" s="25"/>
      <c r="O158" s="25"/>
      <c r="P158" s="25"/>
      <c r="Q158" s="25"/>
      <c r="R158" s="25"/>
      <c r="S158" s="25"/>
      <c r="T158" s="25"/>
      <c r="U158" s="25"/>
      <c r="V158" s="25"/>
      <c r="W158" s="17" t="s">
        <v>604</v>
      </c>
      <c r="X158" s="17"/>
      <c r="Y158" s="25"/>
      <c r="Z158" s="25"/>
      <c r="AA158" s="25"/>
      <c r="AB158" s="25"/>
      <c r="AC158" s="25"/>
    </row>
    <row r="159" spans="1:29" x14ac:dyDescent="0.3">
      <c r="A159" s="25"/>
      <c r="B159" s="25"/>
      <c r="C159" s="25"/>
      <c r="D159" s="25"/>
      <c r="E159" s="25"/>
      <c r="F159" s="25"/>
      <c r="G159" s="25"/>
      <c r="H159" s="25"/>
      <c r="I159" s="25"/>
      <c r="J159" s="25"/>
      <c r="K159" s="25"/>
      <c r="L159" s="25"/>
      <c r="M159" s="25"/>
      <c r="N159" s="25"/>
      <c r="O159" s="25"/>
      <c r="P159" s="25"/>
      <c r="Q159" s="25"/>
      <c r="R159" s="25"/>
      <c r="S159" s="25"/>
      <c r="T159" s="25"/>
      <c r="U159" s="25"/>
      <c r="V159" s="25"/>
      <c r="W159" s="17" t="s">
        <v>605</v>
      </c>
      <c r="X159" s="17"/>
      <c r="Y159" s="25"/>
      <c r="Z159" s="25"/>
      <c r="AA159" s="25"/>
      <c r="AB159" s="25"/>
      <c r="AC159" s="25"/>
    </row>
    <row r="160" spans="1:29" x14ac:dyDescent="0.3">
      <c r="A160" s="25"/>
      <c r="B160" s="25"/>
      <c r="C160" s="25"/>
      <c r="D160" s="25"/>
      <c r="E160" s="25"/>
      <c r="F160" s="25"/>
      <c r="G160" s="25"/>
      <c r="H160" s="25"/>
      <c r="I160" s="25"/>
      <c r="J160" s="25"/>
      <c r="K160" s="25"/>
      <c r="L160" s="25"/>
      <c r="M160" s="25"/>
      <c r="N160" s="25"/>
      <c r="O160" s="25"/>
      <c r="P160" s="25"/>
      <c r="Q160" s="25"/>
      <c r="R160" s="25"/>
      <c r="S160" s="25"/>
      <c r="T160" s="25"/>
      <c r="U160" s="25"/>
      <c r="V160" s="25"/>
      <c r="W160" s="17" t="s">
        <v>606</v>
      </c>
      <c r="X160" s="17"/>
      <c r="Y160" s="25"/>
      <c r="Z160" s="25"/>
      <c r="AA160" s="25"/>
      <c r="AB160" s="25"/>
      <c r="AC160" s="25"/>
    </row>
    <row r="161" spans="1:29" x14ac:dyDescent="0.3">
      <c r="A161" s="25"/>
      <c r="B161" s="25"/>
      <c r="C161" s="25"/>
      <c r="D161" s="25"/>
      <c r="E161" s="25"/>
      <c r="F161" s="25"/>
      <c r="G161" s="25"/>
      <c r="H161" s="25"/>
      <c r="I161" s="25"/>
      <c r="J161" s="25"/>
      <c r="K161" s="25"/>
      <c r="L161" s="25"/>
      <c r="M161" s="25"/>
      <c r="N161" s="25"/>
      <c r="O161" s="25"/>
      <c r="P161" s="25"/>
      <c r="Q161" s="25"/>
      <c r="R161" s="25"/>
      <c r="S161" s="25"/>
      <c r="T161" s="25"/>
      <c r="U161" s="25"/>
      <c r="V161" s="25"/>
      <c r="W161" s="17" t="s">
        <v>607</v>
      </c>
      <c r="X161" s="17"/>
      <c r="Y161" s="25"/>
      <c r="Z161" s="25"/>
      <c r="AA161" s="25"/>
      <c r="AB161" s="25"/>
      <c r="AC161" s="25"/>
    </row>
    <row r="162" spans="1:29" x14ac:dyDescent="0.3">
      <c r="A162" s="25"/>
      <c r="B162" s="25"/>
      <c r="C162" s="25"/>
      <c r="D162" s="25"/>
      <c r="E162" s="25"/>
      <c r="F162" s="25"/>
      <c r="G162" s="25"/>
      <c r="H162" s="25"/>
      <c r="I162" s="25"/>
      <c r="J162" s="25"/>
      <c r="K162" s="25"/>
      <c r="L162" s="25"/>
      <c r="M162" s="25"/>
      <c r="N162" s="25"/>
      <c r="O162" s="25"/>
      <c r="P162" s="25"/>
      <c r="Q162" s="25"/>
      <c r="R162" s="25"/>
      <c r="S162" s="25"/>
      <c r="T162" s="25"/>
      <c r="U162" s="25"/>
      <c r="V162" s="25"/>
      <c r="W162" s="17" t="s">
        <v>608</v>
      </c>
      <c r="X162" s="17"/>
      <c r="Y162" s="25"/>
      <c r="Z162" s="25"/>
      <c r="AA162" s="25"/>
      <c r="AB162" s="25"/>
      <c r="AC162" s="25"/>
    </row>
    <row r="163" spans="1:29" x14ac:dyDescent="0.3">
      <c r="A163" s="25"/>
      <c r="B163" s="25"/>
      <c r="C163" s="25"/>
      <c r="D163" s="25"/>
      <c r="E163" s="25"/>
      <c r="F163" s="25"/>
      <c r="G163" s="25"/>
      <c r="H163" s="25"/>
      <c r="I163" s="25"/>
      <c r="J163" s="25"/>
      <c r="K163" s="25"/>
      <c r="L163" s="25"/>
      <c r="M163" s="25"/>
      <c r="N163" s="25"/>
      <c r="O163" s="25"/>
      <c r="P163" s="25"/>
      <c r="Q163" s="25"/>
      <c r="R163" s="25"/>
      <c r="S163" s="25"/>
      <c r="T163" s="25"/>
      <c r="U163" s="25"/>
      <c r="V163" s="25"/>
      <c r="W163" s="17" t="s">
        <v>609</v>
      </c>
      <c r="X163" s="17"/>
      <c r="Y163" s="25"/>
      <c r="Z163" s="25"/>
      <c r="AA163" s="25"/>
      <c r="AB163" s="25"/>
      <c r="AC163" s="25"/>
    </row>
    <row r="164" spans="1:29" x14ac:dyDescent="0.3">
      <c r="A164" s="25"/>
      <c r="B164" s="25"/>
      <c r="C164" s="25"/>
      <c r="D164" s="25"/>
      <c r="E164" s="25"/>
      <c r="F164" s="25"/>
      <c r="G164" s="25"/>
      <c r="H164" s="25"/>
      <c r="I164" s="25"/>
      <c r="J164" s="25"/>
      <c r="K164" s="25"/>
      <c r="L164" s="25"/>
      <c r="M164" s="25"/>
      <c r="N164" s="25"/>
      <c r="O164" s="25"/>
      <c r="P164" s="25"/>
      <c r="Q164" s="25"/>
      <c r="R164" s="25"/>
      <c r="S164" s="25"/>
      <c r="T164" s="25"/>
      <c r="U164" s="25"/>
      <c r="V164" s="25"/>
      <c r="W164" s="17" t="s">
        <v>610</v>
      </c>
      <c r="X164" s="17"/>
      <c r="Y164" s="25"/>
      <c r="Z164" s="25"/>
      <c r="AA164" s="25"/>
      <c r="AB164" s="25"/>
      <c r="AC164" s="25"/>
    </row>
    <row r="165" spans="1:29" x14ac:dyDescent="0.3">
      <c r="A165" s="25"/>
      <c r="B165" s="25"/>
      <c r="C165" s="25"/>
      <c r="D165" s="25"/>
      <c r="E165" s="25"/>
      <c r="F165" s="25"/>
      <c r="G165" s="25"/>
      <c r="H165" s="25"/>
      <c r="I165" s="25"/>
      <c r="J165" s="25"/>
      <c r="K165" s="25"/>
      <c r="L165" s="25"/>
      <c r="M165" s="25"/>
      <c r="N165" s="25"/>
      <c r="O165" s="25"/>
      <c r="P165" s="25"/>
      <c r="Q165" s="25"/>
      <c r="R165" s="25"/>
      <c r="S165" s="25"/>
      <c r="T165" s="25"/>
      <c r="U165" s="25"/>
      <c r="V165" s="25"/>
      <c r="W165" s="17" t="s">
        <v>611</v>
      </c>
      <c r="X165" s="17"/>
      <c r="Y165" s="25"/>
      <c r="Z165" s="25"/>
      <c r="AA165" s="25"/>
      <c r="AB165" s="25"/>
      <c r="AC165" s="25"/>
    </row>
    <row r="166" spans="1:29" x14ac:dyDescent="0.3">
      <c r="A166" s="25"/>
      <c r="B166" s="25"/>
      <c r="C166" s="25"/>
      <c r="D166" s="25"/>
      <c r="E166" s="25"/>
      <c r="F166" s="25"/>
      <c r="G166" s="25"/>
      <c r="H166" s="25"/>
      <c r="I166" s="25"/>
      <c r="J166" s="25"/>
      <c r="K166" s="25"/>
      <c r="L166" s="25"/>
      <c r="M166" s="25"/>
      <c r="N166" s="25"/>
      <c r="O166" s="25"/>
      <c r="P166" s="25"/>
      <c r="Q166" s="25"/>
      <c r="R166" s="25"/>
      <c r="S166" s="25"/>
      <c r="T166" s="25"/>
      <c r="U166" s="25"/>
      <c r="V166" s="25"/>
      <c r="W166" s="17" t="s">
        <v>612</v>
      </c>
      <c r="X166" s="17"/>
      <c r="Y166" s="25"/>
      <c r="Z166" s="25"/>
      <c r="AA166" s="25"/>
      <c r="AB166" s="25"/>
      <c r="AC166" s="25"/>
    </row>
    <row r="167" spans="1:29" x14ac:dyDescent="0.3">
      <c r="A167" s="25"/>
      <c r="B167" s="25"/>
      <c r="C167" s="25"/>
      <c r="D167" s="25"/>
      <c r="E167" s="25"/>
      <c r="F167" s="25"/>
      <c r="G167" s="25"/>
      <c r="H167" s="25"/>
      <c r="I167" s="25"/>
      <c r="J167" s="25"/>
      <c r="K167" s="25"/>
      <c r="L167" s="25"/>
      <c r="M167" s="25"/>
      <c r="N167" s="25"/>
      <c r="O167" s="25"/>
      <c r="P167" s="25"/>
      <c r="Q167" s="25"/>
      <c r="R167" s="25"/>
      <c r="S167" s="25"/>
      <c r="T167" s="25"/>
      <c r="U167" s="25"/>
      <c r="V167" s="25"/>
      <c r="W167" s="17" t="s">
        <v>613</v>
      </c>
      <c r="X167" s="17"/>
      <c r="Y167" s="25"/>
      <c r="Z167" s="25"/>
      <c r="AA167" s="25"/>
      <c r="AB167" s="25"/>
      <c r="AC167" s="25"/>
    </row>
    <row r="168" spans="1:29" x14ac:dyDescent="0.3">
      <c r="A168" s="25"/>
      <c r="B168" s="25"/>
      <c r="C168" s="25"/>
      <c r="D168" s="25"/>
      <c r="E168" s="25"/>
      <c r="F168" s="25"/>
      <c r="G168" s="25"/>
      <c r="H168" s="25"/>
      <c r="I168" s="25"/>
      <c r="J168" s="25"/>
      <c r="K168" s="25"/>
      <c r="L168" s="25"/>
      <c r="M168" s="25"/>
      <c r="N168" s="25"/>
      <c r="O168" s="25"/>
      <c r="P168" s="25"/>
      <c r="Q168" s="25"/>
      <c r="R168" s="25"/>
      <c r="S168" s="25"/>
      <c r="T168" s="25"/>
      <c r="U168" s="25"/>
      <c r="V168" s="25"/>
      <c r="W168" s="17" t="s">
        <v>614</v>
      </c>
      <c r="X168" s="17"/>
      <c r="Y168" s="25"/>
      <c r="Z168" s="25"/>
      <c r="AA168" s="25"/>
      <c r="AB168" s="25"/>
      <c r="AC168" s="25"/>
    </row>
    <row r="169" spans="1:29" x14ac:dyDescent="0.3">
      <c r="A169" s="25"/>
      <c r="B169" s="25"/>
      <c r="C169" s="25"/>
      <c r="D169" s="25"/>
      <c r="E169" s="25"/>
      <c r="F169" s="25"/>
      <c r="G169" s="25"/>
      <c r="H169" s="25"/>
      <c r="I169" s="25"/>
      <c r="J169" s="25"/>
      <c r="K169" s="25"/>
      <c r="L169" s="25"/>
      <c r="M169" s="25"/>
      <c r="N169" s="25"/>
      <c r="O169" s="25"/>
      <c r="P169" s="25"/>
      <c r="Q169" s="25"/>
      <c r="R169" s="25"/>
      <c r="S169" s="25"/>
      <c r="T169" s="25"/>
      <c r="U169" s="25"/>
      <c r="V169" s="25"/>
      <c r="W169" s="17" t="s">
        <v>615</v>
      </c>
      <c r="X169" s="17"/>
      <c r="Y169" s="25"/>
      <c r="Z169" s="25"/>
      <c r="AA169" s="25"/>
      <c r="AB169" s="25"/>
      <c r="AC169" s="25"/>
    </row>
    <row r="170" spans="1:29" x14ac:dyDescent="0.3">
      <c r="A170" s="25"/>
      <c r="B170" s="25"/>
      <c r="C170" s="25"/>
      <c r="D170" s="25"/>
      <c r="E170" s="25"/>
      <c r="F170" s="25"/>
      <c r="G170" s="25"/>
      <c r="H170" s="25"/>
      <c r="I170" s="25"/>
      <c r="J170" s="25"/>
      <c r="K170" s="25"/>
      <c r="L170" s="25"/>
      <c r="M170" s="25"/>
      <c r="N170" s="25"/>
      <c r="O170" s="25"/>
      <c r="P170" s="25"/>
      <c r="Q170" s="25"/>
      <c r="R170" s="25"/>
      <c r="S170" s="25"/>
      <c r="T170" s="25"/>
      <c r="U170" s="25"/>
      <c r="V170" s="25"/>
      <c r="W170" s="17" t="s">
        <v>616</v>
      </c>
      <c r="X170" s="17"/>
      <c r="Y170" s="25"/>
      <c r="Z170" s="25"/>
      <c r="AA170" s="25"/>
      <c r="AB170" s="25"/>
      <c r="AC170" s="25"/>
    </row>
    <row r="171" spans="1:29" x14ac:dyDescent="0.3">
      <c r="A171" s="25"/>
      <c r="B171" s="25"/>
      <c r="C171" s="25"/>
      <c r="D171" s="25"/>
      <c r="E171" s="25"/>
      <c r="F171" s="25"/>
      <c r="G171" s="25"/>
      <c r="H171" s="25"/>
      <c r="I171" s="25"/>
      <c r="J171" s="25"/>
      <c r="K171" s="25"/>
      <c r="L171" s="25"/>
      <c r="M171" s="25"/>
      <c r="N171" s="25"/>
      <c r="O171" s="25"/>
      <c r="P171" s="25"/>
      <c r="Q171" s="25"/>
      <c r="R171" s="25"/>
      <c r="S171" s="25"/>
      <c r="T171" s="25"/>
      <c r="U171" s="25"/>
      <c r="V171" s="25"/>
      <c r="W171" s="17" t="s">
        <v>617</v>
      </c>
      <c r="X171" s="17"/>
      <c r="Y171" s="25"/>
      <c r="Z171" s="25"/>
      <c r="AA171" s="25"/>
      <c r="AB171" s="25"/>
      <c r="AC171" s="25"/>
    </row>
    <row r="172" spans="1:29" x14ac:dyDescent="0.3">
      <c r="A172" s="25"/>
      <c r="B172" s="25"/>
      <c r="C172" s="25"/>
      <c r="D172" s="25"/>
      <c r="E172" s="25"/>
      <c r="F172" s="25"/>
      <c r="G172" s="25"/>
      <c r="H172" s="25"/>
      <c r="I172" s="25"/>
      <c r="J172" s="25"/>
      <c r="K172" s="25"/>
      <c r="L172" s="25"/>
      <c r="M172" s="25"/>
      <c r="N172" s="25"/>
      <c r="O172" s="25"/>
      <c r="P172" s="25"/>
      <c r="Q172" s="25"/>
      <c r="R172" s="25"/>
      <c r="S172" s="25"/>
      <c r="T172" s="25"/>
      <c r="U172" s="25"/>
      <c r="V172" s="25"/>
      <c r="W172" s="17" t="s">
        <v>618</v>
      </c>
      <c r="X172" s="17"/>
      <c r="Y172" s="25"/>
      <c r="Z172" s="25"/>
      <c r="AA172" s="25"/>
      <c r="AB172" s="25"/>
      <c r="AC172" s="25"/>
    </row>
    <row r="173" spans="1:29" x14ac:dyDescent="0.3">
      <c r="A173" s="25"/>
      <c r="B173" s="25"/>
      <c r="C173" s="25"/>
      <c r="D173" s="25"/>
      <c r="E173" s="25"/>
      <c r="F173" s="25"/>
      <c r="G173" s="25"/>
      <c r="H173" s="25"/>
      <c r="I173" s="25"/>
      <c r="J173" s="25"/>
      <c r="K173" s="25"/>
      <c r="L173" s="25"/>
      <c r="M173" s="25"/>
      <c r="N173" s="25"/>
      <c r="O173" s="25"/>
      <c r="P173" s="25"/>
      <c r="Q173" s="25"/>
      <c r="R173" s="25"/>
      <c r="S173" s="25"/>
      <c r="T173" s="25"/>
      <c r="U173" s="25"/>
      <c r="V173" s="25"/>
      <c r="W173" s="17" t="s">
        <v>619</v>
      </c>
      <c r="X173" s="17"/>
      <c r="Y173" s="25"/>
      <c r="Z173" s="25"/>
      <c r="AA173" s="25"/>
      <c r="AB173" s="25"/>
      <c r="AC173" s="25"/>
    </row>
    <row r="174" spans="1:29" x14ac:dyDescent="0.3">
      <c r="A174" s="25"/>
      <c r="B174" s="25"/>
      <c r="C174" s="25"/>
      <c r="D174" s="25"/>
      <c r="E174" s="25"/>
      <c r="F174" s="25"/>
      <c r="G174" s="25"/>
      <c r="H174" s="25"/>
      <c r="I174" s="25"/>
      <c r="J174" s="25"/>
      <c r="K174" s="25"/>
      <c r="L174" s="25"/>
      <c r="M174" s="25"/>
      <c r="N174" s="25"/>
      <c r="O174" s="25"/>
      <c r="P174" s="25"/>
      <c r="Q174" s="25"/>
      <c r="R174" s="25"/>
      <c r="S174" s="25"/>
      <c r="T174" s="25"/>
      <c r="U174" s="25"/>
      <c r="V174" s="25"/>
      <c r="W174" s="17" t="s">
        <v>620</v>
      </c>
      <c r="X174" s="17"/>
      <c r="Y174" s="25"/>
      <c r="Z174" s="25"/>
      <c r="AA174" s="25"/>
      <c r="AB174" s="25"/>
      <c r="AC174" s="25"/>
    </row>
    <row r="175" spans="1:29" x14ac:dyDescent="0.3">
      <c r="A175" s="25"/>
      <c r="B175" s="25"/>
      <c r="C175" s="25"/>
      <c r="D175" s="25"/>
      <c r="E175" s="25"/>
      <c r="F175" s="25"/>
      <c r="G175" s="25"/>
      <c r="H175" s="25"/>
      <c r="I175" s="25"/>
      <c r="J175" s="25"/>
      <c r="K175" s="25"/>
      <c r="L175" s="25"/>
      <c r="M175" s="25"/>
      <c r="N175" s="25"/>
      <c r="O175" s="25"/>
      <c r="P175" s="25"/>
      <c r="Q175" s="25"/>
      <c r="R175" s="25"/>
      <c r="S175" s="25"/>
      <c r="T175" s="25"/>
      <c r="U175" s="25"/>
      <c r="V175" s="25"/>
      <c r="W175" s="17" t="s">
        <v>621</v>
      </c>
      <c r="X175" s="17"/>
      <c r="Y175" s="25"/>
      <c r="Z175" s="25"/>
      <c r="AA175" s="25"/>
      <c r="AB175" s="25"/>
      <c r="AC175" s="25"/>
    </row>
    <row r="176" spans="1:29" x14ac:dyDescent="0.3">
      <c r="A176" s="25"/>
      <c r="B176" s="25"/>
      <c r="C176" s="25"/>
      <c r="D176" s="25"/>
      <c r="E176" s="25"/>
      <c r="F176" s="25"/>
      <c r="G176" s="25"/>
      <c r="H176" s="25"/>
      <c r="I176" s="25"/>
      <c r="J176" s="25"/>
      <c r="K176" s="25"/>
      <c r="L176" s="25"/>
      <c r="M176" s="25"/>
      <c r="N176" s="25"/>
      <c r="O176" s="25"/>
      <c r="P176" s="25"/>
      <c r="Q176" s="25"/>
      <c r="R176" s="25"/>
      <c r="S176" s="25"/>
      <c r="T176" s="25"/>
      <c r="U176" s="25"/>
      <c r="V176" s="25"/>
      <c r="W176" s="17" t="s">
        <v>622</v>
      </c>
      <c r="X176" s="17"/>
      <c r="Y176" s="25"/>
      <c r="Z176" s="25"/>
      <c r="AA176" s="25"/>
      <c r="AB176" s="25"/>
      <c r="AC176" s="25"/>
    </row>
    <row r="177" spans="1:29" x14ac:dyDescent="0.3">
      <c r="A177" s="25"/>
      <c r="B177" s="25"/>
      <c r="C177" s="25"/>
      <c r="D177" s="25"/>
      <c r="E177" s="25"/>
      <c r="F177" s="25"/>
      <c r="G177" s="25"/>
      <c r="H177" s="25"/>
      <c r="I177" s="25"/>
      <c r="J177" s="25"/>
      <c r="K177" s="25"/>
      <c r="L177" s="25"/>
      <c r="M177" s="25"/>
      <c r="N177" s="25"/>
      <c r="O177" s="25"/>
      <c r="P177" s="25"/>
      <c r="Q177" s="25"/>
      <c r="R177" s="25"/>
      <c r="S177" s="25"/>
      <c r="T177" s="25"/>
      <c r="U177" s="25"/>
      <c r="V177" s="25"/>
      <c r="W177" s="17" t="s">
        <v>623</v>
      </c>
      <c r="X177" s="17"/>
      <c r="Y177" s="25"/>
      <c r="Z177" s="25"/>
      <c r="AA177" s="25"/>
      <c r="AB177" s="25"/>
      <c r="AC177" s="25"/>
    </row>
    <row r="178" spans="1:29" x14ac:dyDescent="0.3">
      <c r="A178" s="25"/>
      <c r="B178" s="25"/>
      <c r="C178" s="25"/>
      <c r="D178" s="25"/>
      <c r="E178" s="25"/>
      <c r="F178" s="25"/>
      <c r="G178" s="25"/>
      <c r="H178" s="25"/>
      <c r="I178" s="25"/>
      <c r="J178" s="25"/>
      <c r="K178" s="25"/>
      <c r="L178" s="25"/>
      <c r="M178" s="25"/>
      <c r="N178" s="25"/>
      <c r="O178" s="25"/>
      <c r="P178" s="25"/>
      <c r="Q178" s="25"/>
      <c r="R178" s="25"/>
      <c r="S178" s="25"/>
      <c r="T178" s="25"/>
      <c r="U178" s="25"/>
      <c r="V178" s="25"/>
      <c r="W178" s="17" t="s">
        <v>624</v>
      </c>
      <c r="X178" s="17"/>
      <c r="Y178" s="25"/>
      <c r="Z178" s="25"/>
      <c r="AA178" s="25"/>
      <c r="AB178" s="25"/>
      <c r="AC178" s="25"/>
    </row>
    <row r="179" spans="1:29" x14ac:dyDescent="0.3">
      <c r="A179" s="25"/>
      <c r="B179" s="25"/>
      <c r="C179" s="25"/>
      <c r="D179" s="25"/>
      <c r="E179" s="25"/>
      <c r="F179" s="25"/>
      <c r="G179" s="25"/>
      <c r="H179" s="25"/>
      <c r="I179" s="25"/>
      <c r="J179" s="25"/>
      <c r="K179" s="25"/>
      <c r="L179" s="25"/>
      <c r="M179" s="25"/>
      <c r="N179" s="25"/>
      <c r="O179" s="25"/>
      <c r="P179" s="25"/>
      <c r="Q179" s="25"/>
      <c r="R179" s="25"/>
      <c r="S179" s="25"/>
      <c r="T179" s="25"/>
      <c r="U179" s="25"/>
      <c r="V179" s="25"/>
      <c r="W179" s="17" t="s">
        <v>625</v>
      </c>
      <c r="X179" s="17"/>
      <c r="Y179" s="25"/>
      <c r="Z179" s="25"/>
      <c r="AA179" s="25"/>
      <c r="AB179" s="25"/>
      <c r="AC179" s="25"/>
    </row>
    <row r="180" spans="1:29" x14ac:dyDescent="0.3">
      <c r="A180" s="25"/>
      <c r="B180" s="25"/>
      <c r="C180" s="25"/>
      <c r="D180" s="25"/>
      <c r="E180" s="25"/>
      <c r="F180" s="25"/>
      <c r="G180" s="25"/>
      <c r="H180" s="25"/>
      <c r="I180" s="25"/>
      <c r="J180" s="25"/>
      <c r="K180" s="25"/>
      <c r="L180" s="25"/>
      <c r="M180" s="25"/>
      <c r="N180" s="25"/>
      <c r="O180" s="25"/>
      <c r="P180" s="25"/>
      <c r="Q180" s="25"/>
      <c r="R180" s="25"/>
      <c r="S180" s="25"/>
      <c r="T180" s="25"/>
      <c r="U180" s="25"/>
      <c r="V180" s="25"/>
      <c r="W180" s="17" t="s">
        <v>626</v>
      </c>
      <c r="X180" s="17"/>
      <c r="Y180" s="25"/>
      <c r="Z180" s="25"/>
      <c r="AA180" s="25"/>
      <c r="AB180" s="25"/>
      <c r="AC180" s="25"/>
    </row>
    <row r="181" spans="1:29" x14ac:dyDescent="0.3">
      <c r="A181" s="25"/>
      <c r="B181" s="25"/>
      <c r="C181" s="25"/>
      <c r="D181" s="25"/>
      <c r="E181" s="25"/>
      <c r="F181" s="25"/>
      <c r="G181" s="25"/>
      <c r="H181" s="25"/>
      <c r="I181" s="25"/>
      <c r="J181" s="25"/>
      <c r="K181" s="25"/>
      <c r="L181" s="25"/>
      <c r="M181" s="25"/>
      <c r="N181" s="25"/>
      <c r="O181" s="25"/>
      <c r="P181" s="25"/>
      <c r="Q181" s="25"/>
      <c r="R181" s="25"/>
      <c r="S181" s="25"/>
      <c r="T181" s="25"/>
      <c r="U181" s="25"/>
      <c r="V181" s="25"/>
      <c r="W181" s="17" t="s">
        <v>627</v>
      </c>
      <c r="X181" s="17"/>
      <c r="Y181" s="25"/>
      <c r="Z181" s="25"/>
      <c r="AA181" s="25"/>
      <c r="AB181" s="25"/>
      <c r="AC181" s="25"/>
    </row>
    <row r="182" spans="1:29" x14ac:dyDescent="0.3">
      <c r="A182" s="25"/>
      <c r="B182" s="25"/>
      <c r="C182" s="25"/>
      <c r="D182" s="25"/>
      <c r="E182" s="25"/>
      <c r="F182" s="25"/>
      <c r="G182" s="25"/>
      <c r="H182" s="25"/>
      <c r="I182" s="25"/>
      <c r="J182" s="25"/>
      <c r="K182" s="25"/>
      <c r="L182" s="25"/>
      <c r="M182" s="25"/>
      <c r="N182" s="25"/>
      <c r="O182" s="25"/>
      <c r="P182" s="25"/>
      <c r="Q182" s="25"/>
      <c r="R182" s="25"/>
      <c r="S182" s="25"/>
      <c r="T182" s="25"/>
      <c r="U182" s="25"/>
      <c r="V182" s="25"/>
      <c r="W182" s="17" t="s">
        <v>628</v>
      </c>
      <c r="X182" s="17"/>
      <c r="Y182" s="25"/>
      <c r="Z182" s="25"/>
      <c r="AA182" s="25"/>
      <c r="AB182" s="25"/>
      <c r="AC182" s="25"/>
    </row>
    <row r="183" spans="1:29" x14ac:dyDescent="0.3">
      <c r="A183" s="25"/>
      <c r="B183" s="25"/>
      <c r="C183" s="25"/>
      <c r="D183" s="25"/>
      <c r="E183" s="25"/>
      <c r="F183" s="25"/>
      <c r="G183" s="25"/>
      <c r="H183" s="25"/>
      <c r="I183" s="25"/>
      <c r="J183" s="25"/>
      <c r="K183" s="25"/>
      <c r="L183" s="25"/>
      <c r="M183" s="25"/>
      <c r="N183" s="25"/>
      <c r="O183" s="25"/>
      <c r="P183" s="25"/>
      <c r="Q183" s="25"/>
      <c r="R183" s="25"/>
      <c r="S183" s="25"/>
      <c r="T183" s="25"/>
      <c r="U183" s="25"/>
      <c r="V183" s="25"/>
      <c r="W183" s="17" t="s">
        <v>629</v>
      </c>
      <c r="X183" s="17"/>
      <c r="Y183" s="25"/>
      <c r="Z183" s="25"/>
      <c r="AA183" s="25"/>
      <c r="AB183" s="25"/>
      <c r="AC183" s="25"/>
    </row>
    <row r="184" spans="1:29" x14ac:dyDescent="0.3">
      <c r="A184" s="25"/>
      <c r="B184" s="25"/>
      <c r="C184" s="25"/>
      <c r="D184" s="25"/>
      <c r="E184" s="25"/>
      <c r="F184" s="25"/>
      <c r="G184" s="25"/>
      <c r="H184" s="25"/>
      <c r="I184" s="25"/>
      <c r="J184" s="25"/>
      <c r="K184" s="25"/>
      <c r="L184" s="25"/>
      <c r="M184" s="25"/>
      <c r="N184" s="25"/>
      <c r="O184" s="25"/>
      <c r="P184" s="25"/>
      <c r="Q184" s="25"/>
      <c r="R184" s="25"/>
      <c r="S184" s="25"/>
      <c r="T184" s="25"/>
      <c r="U184" s="25"/>
      <c r="V184" s="25"/>
      <c r="W184" s="17" t="s">
        <v>630</v>
      </c>
      <c r="X184" s="17"/>
      <c r="Y184" s="25"/>
      <c r="Z184" s="25"/>
      <c r="AA184" s="25"/>
      <c r="AB184" s="25"/>
      <c r="AC184" s="25"/>
    </row>
    <row r="185" spans="1:29" x14ac:dyDescent="0.3">
      <c r="A185" s="25"/>
      <c r="B185" s="25"/>
      <c r="C185" s="25"/>
      <c r="D185" s="25"/>
      <c r="E185" s="25"/>
      <c r="F185" s="25"/>
      <c r="G185" s="25"/>
      <c r="H185" s="25"/>
      <c r="I185" s="25"/>
      <c r="J185" s="25"/>
      <c r="K185" s="25"/>
      <c r="L185" s="25"/>
      <c r="M185" s="25"/>
      <c r="N185" s="25"/>
      <c r="O185" s="25"/>
      <c r="P185" s="25"/>
      <c r="Q185" s="25"/>
      <c r="R185" s="25"/>
      <c r="S185" s="25"/>
      <c r="T185" s="25"/>
      <c r="U185" s="25"/>
      <c r="V185" s="25"/>
      <c r="W185" s="17" t="s">
        <v>631</v>
      </c>
      <c r="X185" s="17"/>
      <c r="Y185" s="25"/>
      <c r="Z185" s="25"/>
      <c r="AA185" s="25"/>
      <c r="AB185" s="25"/>
      <c r="AC185" s="25"/>
    </row>
    <row r="186" spans="1:29" x14ac:dyDescent="0.3">
      <c r="A186" s="25"/>
      <c r="B186" s="25"/>
      <c r="C186" s="25"/>
      <c r="D186" s="25"/>
      <c r="E186" s="25"/>
      <c r="F186" s="25"/>
      <c r="G186" s="25"/>
      <c r="H186" s="25"/>
      <c r="I186" s="25"/>
      <c r="J186" s="25"/>
      <c r="K186" s="25"/>
      <c r="L186" s="25"/>
      <c r="M186" s="25"/>
      <c r="N186" s="25"/>
      <c r="O186" s="25"/>
      <c r="P186" s="25"/>
      <c r="Q186" s="25"/>
      <c r="R186" s="25"/>
      <c r="S186" s="25"/>
      <c r="T186" s="25"/>
      <c r="U186" s="25"/>
      <c r="V186" s="25"/>
      <c r="W186" s="17" t="s">
        <v>632</v>
      </c>
      <c r="X186" s="17"/>
      <c r="Y186" s="25"/>
      <c r="Z186" s="25"/>
      <c r="AA186" s="25"/>
      <c r="AB186" s="25"/>
      <c r="AC186" s="25"/>
    </row>
    <row r="187" spans="1:29" x14ac:dyDescent="0.3">
      <c r="A187" s="25"/>
      <c r="B187" s="25"/>
      <c r="C187" s="25"/>
      <c r="D187" s="25"/>
      <c r="E187" s="25"/>
      <c r="F187" s="25"/>
      <c r="G187" s="25"/>
      <c r="H187" s="25"/>
      <c r="I187" s="25"/>
      <c r="J187" s="25"/>
      <c r="K187" s="25"/>
      <c r="L187" s="25"/>
      <c r="M187" s="25"/>
      <c r="N187" s="25"/>
      <c r="O187" s="25"/>
      <c r="P187" s="25"/>
      <c r="Q187" s="25"/>
      <c r="R187" s="25"/>
      <c r="S187" s="25"/>
      <c r="T187" s="25"/>
      <c r="U187" s="25"/>
      <c r="V187" s="25"/>
      <c r="W187" s="17" t="s">
        <v>633</v>
      </c>
      <c r="X187" s="17"/>
      <c r="Y187" s="25"/>
      <c r="Z187" s="25"/>
      <c r="AA187" s="25"/>
      <c r="AB187" s="25"/>
      <c r="AC187" s="25"/>
    </row>
    <row r="188" spans="1:29" x14ac:dyDescent="0.3">
      <c r="A188" s="25"/>
      <c r="B188" s="25"/>
      <c r="C188" s="25"/>
      <c r="D188" s="25"/>
      <c r="E188" s="25"/>
      <c r="F188" s="25"/>
      <c r="G188" s="25"/>
      <c r="H188" s="25"/>
      <c r="I188" s="25"/>
      <c r="J188" s="25"/>
      <c r="K188" s="25"/>
      <c r="L188" s="25"/>
      <c r="M188" s="25"/>
      <c r="N188" s="25"/>
      <c r="O188" s="25"/>
      <c r="P188" s="25"/>
      <c r="Q188" s="25"/>
      <c r="R188" s="25"/>
      <c r="S188" s="25"/>
      <c r="T188" s="25"/>
      <c r="U188" s="25"/>
      <c r="V188" s="25"/>
      <c r="W188" s="17" t="s">
        <v>634</v>
      </c>
      <c r="X188" s="17"/>
      <c r="Y188" s="25"/>
      <c r="Z188" s="25"/>
      <c r="AA188" s="25"/>
      <c r="AB188" s="25"/>
      <c r="AC188" s="25"/>
    </row>
    <row r="189" spans="1:29" x14ac:dyDescent="0.3">
      <c r="A189" s="25"/>
      <c r="B189" s="25"/>
      <c r="C189" s="25"/>
      <c r="D189" s="25"/>
      <c r="E189" s="25"/>
      <c r="F189" s="25"/>
      <c r="G189" s="25"/>
      <c r="H189" s="25"/>
      <c r="I189" s="25"/>
      <c r="J189" s="25"/>
      <c r="K189" s="25"/>
      <c r="L189" s="25"/>
      <c r="M189" s="25"/>
      <c r="N189" s="25"/>
      <c r="O189" s="25"/>
      <c r="P189" s="25"/>
      <c r="Q189" s="25"/>
      <c r="R189" s="25"/>
      <c r="S189" s="25"/>
      <c r="T189" s="25"/>
      <c r="U189" s="25"/>
      <c r="V189" s="25"/>
      <c r="W189" s="17" t="s">
        <v>635</v>
      </c>
      <c r="X189" s="17"/>
      <c r="Y189" s="25"/>
      <c r="Z189" s="25"/>
      <c r="AA189" s="25"/>
      <c r="AB189" s="25"/>
      <c r="AC189" s="25"/>
    </row>
    <row r="190" spans="1:29" x14ac:dyDescent="0.3">
      <c r="A190" s="25"/>
      <c r="B190" s="25"/>
      <c r="C190" s="25"/>
      <c r="D190" s="25"/>
      <c r="E190" s="25"/>
      <c r="F190" s="25"/>
      <c r="G190" s="25"/>
      <c r="H190" s="25"/>
      <c r="I190" s="25"/>
      <c r="J190" s="25"/>
      <c r="K190" s="25"/>
      <c r="L190" s="25"/>
      <c r="M190" s="25"/>
      <c r="N190" s="25"/>
      <c r="O190" s="25"/>
      <c r="P190" s="25"/>
      <c r="Q190" s="25"/>
      <c r="R190" s="25"/>
      <c r="S190" s="25"/>
      <c r="T190" s="25"/>
      <c r="U190" s="25"/>
      <c r="V190" s="25"/>
      <c r="W190" s="17" t="s">
        <v>636</v>
      </c>
      <c r="X190" s="17"/>
      <c r="Y190" s="25"/>
      <c r="Z190" s="25"/>
      <c r="AA190" s="25"/>
      <c r="AB190" s="25"/>
      <c r="AC190" s="25"/>
    </row>
    <row r="191" spans="1:29" x14ac:dyDescent="0.3">
      <c r="A191" s="25"/>
      <c r="B191" s="25"/>
      <c r="C191" s="25"/>
      <c r="D191" s="25"/>
      <c r="E191" s="25"/>
      <c r="F191" s="25"/>
      <c r="G191" s="25"/>
      <c r="H191" s="25"/>
      <c r="I191" s="25"/>
      <c r="J191" s="25"/>
      <c r="K191" s="25"/>
      <c r="L191" s="25"/>
      <c r="M191" s="25"/>
      <c r="N191" s="25"/>
      <c r="O191" s="25"/>
      <c r="P191" s="25"/>
      <c r="Q191" s="25"/>
      <c r="R191" s="25"/>
      <c r="S191" s="25"/>
      <c r="T191" s="25"/>
      <c r="U191" s="25"/>
      <c r="V191" s="25"/>
      <c r="W191" s="17" t="s">
        <v>637</v>
      </c>
      <c r="X191" s="17"/>
      <c r="Y191" s="25"/>
      <c r="Z191" s="25"/>
      <c r="AA191" s="25"/>
      <c r="AB191" s="25"/>
      <c r="AC191" s="25"/>
    </row>
    <row r="192" spans="1:29" x14ac:dyDescent="0.3">
      <c r="A192" s="25"/>
      <c r="B192" s="25"/>
      <c r="C192" s="25"/>
      <c r="D192" s="25"/>
      <c r="E192" s="25"/>
      <c r="F192" s="25"/>
      <c r="G192" s="25"/>
      <c r="H192" s="25"/>
      <c r="I192" s="25"/>
      <c r="J192" s="25"/>
      <c r="K192" s="25"/>
      <c r="L192" s="25"/>
      <c r="M192" s="25"/>
      <c r="N192" s="25"/>
      <c r="O192" s="25"/>
      <c r="P192" s="25"/>
      <c r="Q192" s="25"/>
      <c r="R192" s="25"/>
      <c r="S192" s="25"/>
      <c r="T192" s="25"/>
      <c r="U192" s="25"/>
      <c r="V192" s="25"/>
      <c r="W192" s="17" t="s">
        <v>638</v>
      </c>
      <c r="X192" s="17"/>
      <c r="Y192" s="25"/>
      <c r="Z192" s="25"/>
      <c r="AA192" s="25"/>
      <c r="AB192" s="25"/>
      <c r="AC192" s="25"/>
    </row>
    <row r="193" spans="1:29" x14ac:dyDescent="0.3">
      <c r="A193" s="25"/>
      <c r="B193" s="25"/>
      <c r="C193" s="25"/>
      <c r="D193" s="25"/>
      <c r="E193" s="25"/>
      <c r="F193" s="25"/>
      <c r="G193" s="25"/>
      <c r="H193" s="25"/>
      <c r="I193" s="25"/>
      <c r="J193" s="25"/>
      <c r="K193" s="25"/>
      <c r="L193" s="25"/>
      <c r="M193" s="25"/>
      <c r="N193" s="25"/>
      <c r="O193" s="25"/>
      <c r="P193" s="25"/>
      <c r="Q193" s="25"/>
      <c r="R193" s="25"/>
      <c r="S193" s="25"/>
      <c r="T193" s="25"/>
      <c r="U193" s="25"/>
      <c r="V193" s="25"/>
      <c r="W193" s="17" t="s">
        <v>639</v>
      </c>
      <c r="X193" s="17"/>
      <c r="Y193" s="25"/>
      <c r="Z193" s="25"/>
      <c r="AA193" s="25"/>
      <c r="AB193" s="25"/>
      <c r="AC193" s="25"/>
    </row>
    <row r="194" spans="1:29" x14ac:dyDescent="0.3">
      <c r="A194" s="25"/>
      <c r="B194" s="25"/>
      <c r="C194" s="25"/>
      <c r="D194" s="25"/>
      <c r="E194" s="25"/>
      <c r="F194" s="25"/>
      <c r="G194" s="25"/>
      <c r="H194" s="25"/>
      <c r="I194" s="25"/>
      <c r="J194" s="25"/>
      <c r="K194" s="25"/>
      <c r="L194" s="25"/>
      <c r="M194" s="25"/>
      <c r="N194" s="25"/>
      <c r="O194" s="25"/>
      <c r="P194" s="25"/>
      <c r="Q194" s="25"/>
      <c r="R194" s="25"/>
      <c r="S194" s="25"/>
      <c r="T194" s="25"/>
      <c r="U194" s="25"/>
      <c r="V194" s="25"/>
      <c r="W194" s="17" t="s">
        <v>640</v>
      </c>
      <c r="X194" s="17"/>
      <c r="Y194" s="25"/>
      <c r="Z194" s="25"/>
      <c r="AA194" s="25"/>
      <c r="AB194" s="25"/>
      <c r="AC194" s="25"/>
    </row>
    <row r="195" spans="1:29" x14ac:dyDescent="0.3">
      <c r="A195" s="25"/>
      <c r="B195" s="25"/>
      <c r="C195" s="25"/>
      <c r="D195" s="25"/>
      <c r="E195" s="25"/>
      <c r="F195" s="25"/>
      <c r="G195" s="25"/>
      <c r="H195" s="25"/>
      <c r="I195" s="25"/>
      <c r="J195" s="25"/>
      <c r="K195" s="25"/>
      <c r="L195" s="25"/>
      <c r="M195" s="25"/>
      <c r="N195" s="25"/>
      <c r="O195" s="25"/>
      <c r="P195" s="25"/>
      <c r="Q195" s="25"/>
      <c r="R195" s="25"/>
      <c r="S195" s="25"/>
      <c r="T195" s="25"/>
      <c r="U195" s="25"/>
      <c r="V195" s="25"/>
      <c r="W195" s="17" t="s">
        <v>641</v>
      </c>
      <c r="X195" s="17"/>
      <c r="Y195" s="25"/>
      <c r="Z195" s="25"/>
      <c r="AA195" s="25"/>
      <c r="AB195" s="25"/>
      <c r="AC195" s="25"/>
    </row>
    <row r="196" spans="1:29" x14ac:dyDescent="0.3">
      <c r="A196" s="25"/>
      <c r="B196" s="25"/>
      <c r="C196" s="25"/>
      <c r="D196" s="25"/>
      <c r="E196" s="25"/>
      <c r="F196" s="25"/>
      <c r="G196" s="25"/>
      <c r="H196" s="25"/>
      <c r="I196" s="25"/>
      <c r="J196" s="25"/>
      <c r="K196" s="25"/>
      <c r="L196" s="25"/>
      <c r="M196" s="25"/>
      <c r="N196" s="25"/>
      <c r="O196" s="25"/>
      <c r="P196" s="25"/>
      <c r="Q196" s="25"/>
      <c r="R196" s="25"/>
      <c r="S196" s="25"/>
      <c r="T196" s="25"/>
      <c r="U196" s="25"/>
      <c r="V196" s="25"/>
      <c r="W196" s="17" t="s">
        <v>642</v>
      </c>
      <c r="X196" s="17"/>
      <c r="Y196" s="25"/>
      <c r="Z196" s="25"/>
      <c r="AA196" s="25"/>
      <c r="AB196" s="25"/>
      <c r="AC196" s="25"/>
    </row>
    <row r="197" spans="1:29" x14ac:dyDescent="0.3">
      <c r="A197" s="25"/>
      <c r="B197" s="25"/>
      <c r="C197" s="25"/>
      <c r="D197" s="25"/>
      <c r="E197" s="25"/>
      <c r="F197" s="25"/>
      <c r="G197" s="25"/>
      <c r="H197" s="25"/>
      <c r="I197" s="25"/>
      <c r="J197" s="25"/>
      <c r="K197" s="25"/>
      <c r="L197" s="25"/>
      <c r="M197" s="25"/>
      <c r="N197" s="25"/>
      <c r="O197" s="25"/>
      <c r="P197" s="25"/>
      <c r="Q197" s="25"/>
      <c r="R197" s="25"/>
      <c r="S197" s="25"/>
      <c r="T197" s="25"/>
      <c r="U197" s="25"/>
      <c r="V197" s="25"/>
      <c r="W197" s="17" t="s">
        <v>643</v>
      </c>
      <c r="X197" s="17"/>
      <c r="Y197" s="25"/>
      <c r="Z197" s="25"/>
      <c r="AA197" s="25"/>
      <c r="AB197" s="25"/>
      <c r="AC197" s="25"/>
    </row>
    <row r="198" spans="1:29" x14ac:dyDescent="0.3">
      <c r="A198" s="25"/>
      <c r="B198" s="25"/>
      <c r="C198" s="25"/>
      <c r="D198" s="25"/>
      <c r="E198" s="25"/>
      <c r="F198" s="25"/>
      <c r="G198" s="25"/>
      <c r="H198" s="25"/>
      <c r="I198" s="25"/>
      <c r="J198" s="25"/>
      <c r="K198" s="25"/>
      <c r="L198" s="25"/>
      <c r="M198" s="25"/>
      <c r="N198" s="25"/>
      <c r="O198" s="25"/>
      <c r="P198" s="25"/>
      <c r="Q198" s="25"/>
      <c r="R198" s="25"/>
      <c r="S198" s="25"/>
      <c r="T198" s="25"/>
      <c r="U198" s="25"/>
      <c r="V198" s="25"/>
      <c r="W198" s="17" t="s">
        <v>644</v>
      </c>
      <c r="X198" s="17"/>
      <c r="Y198" s="25"/>
      <c r="Z198" s="25"/>
      <c r="AA198" s="25"/>
      <c r="AB198" s="25"/>
      <c r="AC198" s="25"/>
    </row>
    <row r="199" spans="1:29" x14ac:dyDescent="0.3">
      <c r="A199" s="25"/>
      <c r="B199" s="25"/>
      <c r="C199" s="25"/>
      <c r="D199" s="25"/>
      <c r="E199" s="25"/>
      <c r="F199" s="25"/>
      <c r="G199" s="25"/>
      <c r="H199" s="25"/>
      <c r="I199" s="25"/>
      <c r="J199" s="25"/>
      <c r="K199" s="25"/>
      <c r="L199" s="25"/>
      <c r="M199" s="25"/>
      <c r="N199" s="25"/>
      <c r="O199" s="25"/>
      <c r="P199" s="25"/>
      <c r="Q199" s="25"/>
      <c r="R199" s="25"/>
      <c r="S199" s="25"/>
      <c r="T199" s="25"/>
      <c r="U199" s="25"/>
      <c r="V199" s="25"/>
      <c r="W199" s="17" t="s">
        <v>645</v>
      </c>
      <c r="X199" s="17"/>
      <c r="Y199" s="25"/>
      <c r="Z199" s="25"/>
      <c r="AA199" s="25"/>
      <c r="AB199" s="25"/>
      <c r="AC199" s="25"/>
    </row>
    <row r="200" spans="1:29" x14ac:dyDescent="0.3">
      <c r="A200" s="25"/>
      <c r="B200" s="25"/>
      <c r="C200" s="25"/>
      <c r="D200" s="25"/>
      <c r="E200" s="25"/>
      <c r="F200" s="25"/>
      <c r="G200" s="25"/>
      <c r="H200" s="25"/>
      <c r="I200" s="25"/>
      <c r="J200" s="25"/>
      <c r="K200" s="25"/>
      <c r="L200" s="25"/>
      <c r="M200" s="25"/>
      <c r="N200" s="25"/>
      <c r="O200" s="25"/>
      <c r="P200" s="25"/>
      <c r="Q200" s="25"/>
      <c r="R200" s="25"/>
      <c r="S200" s="25"/>
      <c r="T200" s="25"/>
      <c r="U200" s="25"/>
      <c r="V200" s="25"/>
      <c r="W200" s="17" t="s">
        <v>646</v>
      </c>
      <c r="X200" s="17"/>
      <c r="Y200" s="25"/>
      <c r="Z200" s="25"/>
      <c r="AA200" s="25"/>
      <c r="AB200" s="25"/>
      <c r="AC200" s="25"/>
    </row>
    <row r="201" spans="1:29" x14ac:dyDescent="0.3">
      <c r="A201" s="25"/>
      <c r="B201" s="25"/>
      <c r="C201" s="25"/>
      <c r="D201" s="25"/>
      <c r="E201" s="25"/>
      <c r="F201" s="25"/>
      <c r="G201" s="25"/>
      <c r="H201" s="25"/>
      <c r="I201" s="25"/>
      <c r="J201" s="25"/>
      <c r="K201" s="25"/>
      <c r="L201" s="25"/>
      <c r="M201" s="25"/>
      <c r="N201" s="25"/>
      <c r="O201" s="25"/>
      <c r="P201" s="25"/>
      <c r="Q201" s="25"/>
      <c r="R201" s="25"/>
      <c r="S201" s="25"/>
      <c r="T201" s="25"/>
      <c r="U201" s="25"/>
      <c r="V201" s="25"/>
      <c r="W201" s="17" t="s">
        <v>647</v>
      </c>
      <c r="X201" s="17"/>
      <c r="Y201" s="25"/>
      <c r="Z201" s="25"/>
      <c r="AA201" s="25"/>
      <c r="AB201" s="25"/>
      <c r="AC201" s="25"/>
    </row>
    <row r="202" spans="1:29" x14ac:dyDescent="0.3">
      <c r="A202" s="25"/>
      <c r="B202" s="25"/>
      <c r="C202" s="25"/>
      <c r="D202" s="25"/>
      <c r="E202" s="25"/>
      <c r="F202" s="25"/>
      <c r="G202" s="25"/>
      <c r="H202" s="25"/>
      <c r="I202" s="25"/>
      <c r="J202" s="25"/>
      <c r="K202" s="25"/>
      <c r="L202" s="25"/>
      <c r="M202" s="25"/>
      <c r="N202" s="25"/>
      <c r="O202" s="25"/>
      <c r="P202" s="25"/>
      <c r="Q202" s="25"/>
      <c r="R202" s="25"/>
      <c r="S202" s="25"/>
      <c r="T202" s="25"/>
      <c r="U202" s="25"/>
      <c r="V202" s="25"/>
      <c r="W202" s="17" t="s">
        <v>648</v>
      </c>
      <c r="X202" s="17"/>
      <c r="Y202" s="25"/>
      <c r="Z202" s="25"/>
      <c r="AA202" s="25"/>
      <c r="AB202" s="25"/>
      <c r="AC202" s="25"/>
    </row>
    <row r="203" spans="1:29" x14ac:dyDescent="0.3">
      <c r="A203" s="25"/>
      <c r="B203" s="25"/>
      <c r="C203" s="25"/>
      <c r="D203" s="25"/>
      <c r="E203" s="25"/>
      <c r="F203" s="25"/>
      <c r="G203" s="25"/>
      <c r="H203" s="25"/>
      <c r="I203" s="25"/>
      <c r="J203" s="25"/>
      <c r="K203" s="25"/>
      <c r="L203" s="25"/>
      <c r="M203" s="25"/>
      <c r="N203" s="25"/>
      <c r="O203" s="25"/>
      <c r="P203" s="25"/>
      <c r="Q203" s="25"/>
      <c r="R203" s="25"/>
      <c r="S203" s="25"/>
      <c r="T203" s="25"/>
      <c r="U203" s="25"/>
      <c r="V203" s="25"/>
      <c r="W203" s="17" t="s">
        <v>649</v>
      </c>
      <c r="X203" s="17"/>
      <c r="Y203" s="25"/>
      <c r="Z203" s="25"/>
      <c r="AA203" s="25"/>
      <c r="AB203" s="25"/>
      <c r="AC203" s="25"/>
    </row>
    <row r="204" spans="1:29" x14ac:dyDescent="0.3">
      <c r="A204" s="25"/>
      <c r="B204" s="25"/>
      <c r="C204" s="25"/>
      <c r="D204" s="25"/>
      <c r="E204" s="25"/>
      <c r="F204" s="25"/>
      <c r="G204" s="25"/>
      <c r="H204" s="25"/>
      <c r="I204" s="25"/>
      <c r="J204" s="25"/>
      <c r="K204" s="25"/>
      <c r="L204" s="25"/>
      <c r="M204" s="25"/>
      <c r="N204" s="25"/>
      <c r="O204" s="25"/>
      <c r="P204" s="25"/>
      <c r="Q204" s="25"/>
      <c r="R204" s="25"/>
      <c r="S204" s="25"/>
      <c r="T204" s="25"/>
      <c r="U204" s="25"/>
      <c r="V204" s="25"/>
      <c r="W204" s="17" t="s">
        <v>650</v>
      </c>
      <c r="X204" s="17"/>
      <c r="Y204" s="25"/>
      <c r="Z204" s="25"/>
      <c r="AA204" s="25"/>
      <c r="AB204" s="25"/>
      <c r="AC204" s="25"/>
    </row>
    <row r="205" spans="1:29" x14ac:dyDescent="0.3">
      <c r="A205" s="25"/>
      <c r="B205" s="25"/>
      <c r="C205" s="25"/>
      <c r="D205" s="25"/>
      <c r="E205" s="25"/>
      <c r="F205" s="25"/>
      <c r="G205" s="25"/>
      <c r="H205" s="25"/>
      <c r="I205" s="25"/>
      <c r="J205" s="25"/>
      <c r="K205" s="25"/>
      <c r="L205" s="25"/>
      <c r="M205" s="25"/>
      <c r="N205" s="25"/>
      <c r="O205" s="25"/>
      <c r="P205" s="25"/>
      <c r="Q205" s="25"/>
      <c r="R205" s="25"/>
      <c r="S205" s="25"/>
      <c r="T205" s="25"/>
      <c r="U205" s="25"/>
      <c r="V205" s="25"/>
      <c r="W205" s="17" t="s">
        <v>651</v>
      </c>
      <c r="X205" s="17"/>
      <c r="Y205" s="25"/>
      <c r="Z205" s="25"/>
      <c r="AA205" s="25"/>
      <c r="AB205" s="25"/>
      <c r="AC205" s="25"/>
    </row>
    <row r="206" spans="1:29" x14ac:dyDescent="0.3">
      <c r="A206" s="25"/>
      <c r="B206" s="25"/>
      <c r="C206" s="25"/>
      <c r="D206" s="25"/>
      <c r="E206" s="25"/>
      <c r="F206" s="25"/>
      <c r="G206" s="25"/>
      <c r="H206" s="25"/>
      <c r="I206" s="25"/>
      <c r="J206" s="25"/>
      <c r="K206" s="25"/>
      <c r="L206" s="25"/>
      <c r="M206" s="25"/>
      <c r="N206" s="25"/>
      <c r="O206" s="25"/>
      <c r="P206" s="25"/>
      <c r="Q206" s="25"/>
      <c r="R206" s="25"/>
      <c r="S206" s="25"/>
      <c r="T206" s="25"/>
      <c r="U206" s="25"/>
      <c r="V206" s="25"/>
      <c r="W206" s="17" t="s">
        <v>652</v>
      </c>
      <c r="X206" s="17"/>
      <c r="Y206" s="25"/>
      <c r="Z206" s="25"/>
      <c r="AA206" s="25"/>
      <c r="AB206" s="25"/>
      <c r="AC206" s="25"/>
    </row>
    <row r="207" spans="1:29" x14ac:dyDescent="0.3">
      <c r="A207" s="25"/>
      <c r="B207" s="25"/>
      <c r="C207" s="25"/>
      <c r="D207" s="25"/>
      <c r="E207" s="25"/>
      <c r="F207" s="25"/>
      <c r="G207" s="25"/>
      <c r="H207" s="25"/>
      <c r="I207" s="25"/>
      <c r="J207" s="25"/>
      <c r="K207" s="25"/>
      <c r="L207" s="25"/>
      <c r="M207" s="25"/>
      <c r="N207" s="25"/>
      <c r="O207" s="25"/>
      <c r="P207" s="25"/>
      <c r="Q207" s="25"/>
      <c r="R207" s="25"/>
      <c r="S207" s="25"/>
      <c r="T207" s="25"/>
      <c r="U207" s="25"/>
      <c r="V207" s="25"/>
      <c r="W207" s="17" t="s">
        <v>653</v>
      </c>
      <c r="X207" s="17"/>
      <c r="Y207" s="25"/>
      <c r="Z207" s="25"/>
      <c r="AA207" s="25"/>
      <c r="AB207" s="25"/>
      <c r="AC207" s="25"/>
    </row>
    <row r="208" spans="1:29" x14ac:dyDescent="0.3">
      <c r="A208" s="25"/>
      <c r="B208" s="25"/>
      <c r="C208" s="25"/>
      <c r="D208" s="25"/>
      <c r="E208" s="25"/>
      <c r="F208" s="25"/>
      <c r="G208" s="25"/>
      <c r="H208" s="25"/>
      <c r="I208" s="25"/>
      <c r="J208" s="25"/>
      <c r="K208" s="25"/>
      <c r="L208" s="25"/>
      <c r="M208" s="25"/>
      <c r="N208" s="25"/>
      <c r="O208" s="25"/>
      <c r="P208" s="25"/>
      <c r="Q208" s="25"/>
      <c r="R208" s="25"/>
      <c r="S208" s="25"/>
      <c r="T208" s="25"/>
      <c r="U208" s="25"/>
      <c r="V208" s="25"/>
      <c r="W208" s="17" t="s">
        <v>654</v>
      </c>
      <c r="X208" s="17"/>
      <c r="Y208" s="25"/>
      <c r="Z208" s="25"/>
      <c r="AA208" s="25"/>
      <c r="AB208" s="25"/>
      <c r="AC208" s="25"/>
    </row>
    <row r="209" spans="1:29" x14ac:dyDescent="0.3">
      <c r="A209" s="25"/>
      <c r="B209" s="25"/>
      <c r="C209" s="25"/>
      <c r="D209" s="25"/>
      <c r="E209" s="25"/>
      <c r="F209" s="25"/>
      <c r="G209" s="25"/>
      <c r="H209" s="25"/>
      <c r="I209" s="25"/>
      <c r="J209" s="25"/>
      <c r="K209" s="25"/>
      <c r="L209" s="25"/>
      <c r="M209" s="25"/>
      <c r="N209" s="25"/>
      <c r="O209" s="25"/>
      <c r="P209" s="25"/>
      <c r="Q209" s="25"/>
      <c r="R209" s="25"/>
      <c r="S209" s="25"/>
      <c r="T209" s="25"/>
      <c r="U209" s="25"/>
      <c r="V209" s="25"/>
      <c r="W209" s="17" t="s">
        <v>655</v>
      </c>
      <c r="X209" s="17"/>
      <c r="Y209" s="25"/>
      <c r="Z209" s="25"/>
      <c r="AA209" s="25"/>
      <c r="AB209" s="25"/>
      <c r="AC209" s="25"/>
    </row>
    <row r="210" spans="1:29" x14ac:dyDescent="0.3">
      <c r="A210" s="25"/>
      <c r="B210" s="25"/>
      <c r="C210" s="25"/>
      <c r="D210" s="25"/>
      <c r="E210" s="25"/>
      <c r="F210" s="25"/>
      <c r="G210" s="25"/>
      <c r="H210" s="25"/>
      <c r="I210" s="25"/>
      <c r="J210" s="25"/>
      <c r="K210" s="25"/>
      <c r="L210" s="25"/>
      <c r="M210" s="25"/>
      <c r="N210" s="25"/>
      <c r="O210" s="25"/>
      <c r="P210" s="25"/>
      <c r="Q210" s="25"/>
      <c r="R210" s="25"/>
      <c r="S210" s="25"/>
      <c r="T210" s="25"/>
      <c r="U210" s="25"/>
      <c r="V210" s="25"/>
      <c r="W210" s="17" t="s">
        <v>656</v>
      </c>
      <c r="X210" s="17"/>
      <c r="Y210" s="25"/>
      <c r="Z210" s="25"/>
      <c r="AA210" s="25"/>
      <c r="AB210" s="25"/>
      <c r="AC210" s="25"/>
    </row>
    <row r="211" spans="1:29" x14ac:dyDescent="0.3">
      <c r="A211" s="25"/>
      <c r="B211" s="25"/>
      <c r="C211" s="25"/>
      <c r="D211" s="25"/>
      <c r="E211" s="25"/>
      <c r="F211" s="25"/>
      <c r="G211" s="25"/>
      <c r="H211" s="25"/>
      <c r="I211" s="25"/>
      <c r="J211" s="25"/>
      <c r="K211" s="25"/>
      <c r="L211" s="25"/>
      <c r="M211" s="25"/>
      <c r="N211" s="25"/>
      <c r="O211" s="25"/>
      <c r="P211" s="25"/>
      <c r="Q211" s="25"/>
      <c r="R211" s="25"/>
      <c r="S211" s="25"/>
      <c r="T211" s="25"/>
      <c r="U211" s="25"/>
      <c r="V211" s="25"/>
      <c r="W211" s="17" t="s">
        <v>657</v>
      </c>
      <c r="X211" s="17"/>
      <c r="Y211" s="25"/>
      <c r="Z211" s="25"/>
      <c r="AA211" s="25"/>
      <c r="AB211" s="25"/>
      <c r="AC211" s="25"/>
    </row>
    <row r="212" spans="1:29" x14ac:dyDescent="0.3">
      <c r="A212" s="25"/>
      <c r="B212" s="25"/>
      <c r="C212" s="25"/>
      <c r="D212" s="25"/>
      <c r="E212" s="25"/>
      <c r="F212" s="25"/>
      <c r="G212" s="25"/>
      <c r="H212" s="25"/>
      <c r="I212" s="25"/>
      <c r="J212" s="25"/>
      <c r="K212" s="25"/>
      <c r="L212" s="25"/>
      <c r="M212" s="25"/>
      <c r="N212" s="25"/>
      <c r="O212" s="25"/>
      <c r="P212" s="25"/>
      <c r="Q212" s="25"/>
      <c r="R212" s="25"/>
      <c r="S212" s="25"/>
      <c r="T212" s="25"/>
      <c r="U212" s="25"/>
      <c r="V212" s="25"/>
      <c r="W212" s="17" t="s">
        <v>658</v>
      </c>
      <c r="X212" s="17"/>
      <c r="Y212" s="25"/>
      <c r="Z212" s="25"/>
      <c r="AA212" s="25"/>
      <c r="AB212" s="25"/>
      <c r="AC212" s="25"/>
    </row>
    <row r="213" spans="1:29" x14ac:dyDescent="0.3">
      <c r="A213" s="25"/>
      <c r="B213" s="25"/>
      <c r="C213" s="25"/>
      <c r="D213" s="25"/>
      <c r="E213" s="25"/>
      <c r="F213" s="25"/>
      <c r="G213" s="25"/>
      <c r="H213" s="25"/>
      <c r="I213" s="25"/>
      <c r="J213" s="25"/>
      <c r="K213" s="25"/>
      <c r="L213" s="25"/>
      <c r="M213" s="25"/>
      <c r="N213" s="25"/>
      <c r="O213" s="25"/>
      <c r="P213" s="25"/>
      <c r="Q213" s="25"/>
      <c r="R213" s="25"/>
      <c r="S213" s="25"/>
      <c r="T213" s="25"/>
      <c r="U213" s="25"/>
      <c r="V213" s="25"/>
      <c r="W213" s="17" t="s">
        <v>659</v>
      </c>
      <c r="X213" s="17"/>
      <c r="Y213" s="25"/>
      <c r="Z213" s="25"/>
      <c r="AA213" s="25"/>
      <c r="AB213" s="25"/>
      <c r="AC213" s="25"/>
    </row>
    <row r="214" spans="1:29" x14ac:dyDescent="0.3">
      <c r="A214" s="25"/>
      <c r="B214" s="25"/>
      <c r="C214" s="25"/>
      <c r="D214" s="25"/>
      <c r="E214" s="25"/>
      <c r="F214" s="25"/>
      <c r="G214" s="25"/>
      <c r="H214" s="25"/>
      <c r="I214" s="25"/>
      <c r="J214" s="25"/>
      <c r="K214" s="25"/>
      <c r="L214" s="25"/>
      <c r="M214" s="25"/>
      <c r="N214" s="25"/>
      <c r="O214" s="25"/>
      <c r="P214" s="25"/>
      <c r="Q214" s="25"/>
      <c r="R214" s="25"/>
      <c r="S214" s="25"/>
      <c r="T214" s="25"/>
      <c r="U214" s="25"/>
      <c r="V214" s="25"/>
      <c r="W214" s="17" t="s">
        <v>660</v>
      </c>
      <c r="X214" s="17"/>
      <c r="Y214" s="25"/>
      <c r="Z214" s="25"/>
      <c r="AA214" s="25"/>
      <c r="AB214" s="25"/>
      <c r="AC214" s="25"/>
    </row>
    <row r="215" spans="1:29" x14ac:dyDescent="0.3">
      <c r="A215" s="25"/>
      <c r="B215" s="25"/>
      <c r="C215" s="25"/>
      <c r="D215" s="25"/>
      <c r="E215" s="25"/>
      <c r="F215" s="25"/>
      <c r="G215" s="25"/>
      <c r="H215" s="25"/>
      <c r="I215" s="25"/>
      <c r="J215" s="25"/>
      <c r="K215" s="25"/>
      <c r="L215" s="25"/>
      <c r="M215" s="25"/>
      <c r="N215" s="25"/>
      <c r="O215" s="25"/>
      <c r="P215" s="25"/>
      <c r="Q215" s="25"/>
      <c r="R215" s="25"/>
      <c r="S215" s="25"/>
      <c r="T215" s="25"/>
      <c r="U215" s="25"/>
      <c r="V215" s="25"/>
      <c r="W215" s="17" t="s">
        <v>661</v>
      </c>
      <c r="X215" s="17"/>
      <c r="Y215" s="25"/>
      <c r="Z215" s="25"/>
      <c r="AA215" s="25"/>
      <c r="AB215" s="25"/>
      <c r="AC215" s="25"/>
    </row>
    <row r="216" spans="1:29" x14ac:dyDescent="0.3">
      <c r="A216" s="25"/>
      <c r="B216" s="25"/>
      <c r="C216" s="25"/>
      <c r="D216" s="25"/>
      <c r="E216" s="25"/>
      <c r="F216" s="25"/>
      <c r="G216" s="25"/>
      <c r="H216" s="25"/>
      <c r="I216" s="25"/>
      <c r="J216" s="25"/>
      <c r="K216" s="25"/>
      <c r="L216" s="25"/>
      <c r="M216" s="25"/>
      <c r="N216" s="25"/>
      <c r="O216" s="25"/>
      <c r="P216" s="25"/>
      <c r="Q216" s="25"/>
      <c r="R216" s="25"/>
      <c r="S216" s="25"/>
      <c r="T216" s="25"/>
      <c r="U216" s="25"/>
      <c r="V216" s="25"/>
      <c r="W216" s="17" t="s">
        <v>662</v>
      </c>
      <c r="X216" s="17"/>
      <c r="Y216" s="25"/>
      <c r="Z216" s="25"/>
      <c r="AA216" s="25"/>
      <c r="AB216" s="25"/>
      <c r="AC216" s="25"/>
    </row>
    <row r="217" spans="1:29" x14ac:dyDescent="0.3">
      <c r="A217" s="25"/>
      <c r="B217" s="25"/>
      <c r="C217" s="25"/>
      <c r="D217" s="25"/>
      <c r="E217" s="25"/>
      <c r="F217" s="25"/>
      <c r="G217" s="25"/>
      <c r="H217" s="25"/>
      <c r="I217" s="25"/>
      <c r="J217" s="25"/>
      <c r="K217" s="25"/>
      <c r="L217" s="25"/>
      <c r="M217" s="25"/>
      <c r="N217" s="25"/>
      <c r="O217" s="25"/>
      <c r="P217" s="25"/>
      <c r="Q217" s="25"/>
      <c r="R217" s="25"/>
      <c r="S217" s="25"/>
      <c r="T217" s="25"/>
      <c r="U217" s="25"/>
      <c r="V217" s="25"/>
      <c r="W217" s="17" t="s">
        <v>663</v>
      </c>
      <c r="X217" s="17"/>
      <c r="Y217" s="25"/>
      <c r="Z217" s="25"/>
      <c r="AA217" s="25"/>
      <c r="AB217" s="25"/>
      <c r="AC217" s="25"/>
    </row>
    <row r="218" spans="1:29" x14ac:dyDescent="0.3">
      <c r="A218" s="25"/>
      <c r="B218" s="25"/>
      <c r="C218" s="25"/>
      <c r="D218" s="25"/>
      <c r="E218" s="25"/>
      <c r="F218" s="25"/>
      <c r="G218" s="25"/>
      <c r="H218" s="25"/>
      <c r="I218" s="25"/>
      <c r="J218" s="25"/>
      <c r="K218" s="25"/>
      <c r="L218" s="25"/>
      <c r="M218" s="25"/>
      <c r="N218" s="25"/>
      <c r="O218" s="25"/>
      <c r="P218" s="25"/>
      <c r="Q218" s="25"/>
      <c r="R218" s="25"/>
      <c r="S218" s="25"/>
      <c r="T218" s="25"/>
      <c r="U218" s="25"/>
      <c r="V218" s="25"/>
      <c r="W218" s="17" t="s">
        <v>664</v>
      </c>
      <c r="X218" s="17"/>
      <c r="Y218" s="25"/>
      <c r="Z218" s="25"/>
      <c r="AA218" s="25"/>
      <c r="AB218" s="25"/>
      <c r="AC218" s="25"/>
    </row>
    <row r="219" spans="1:29" x14ac:dyDescent="0.3">
      <c r="A219" s="25"/>
      <c r="B219" s="25"/>
      <c r="C219" s="25"/>
      <c r="D219" s="25"/>
      <c r="E219" s="25"/>
      <c r="F219" s="25"/>
      <c r="G219" s="25"/>
      <c r="H219" s="25"/>
      <c r="I219" s="25"/>
      <c r="J219" s="25"/>
      <c r="K219" s="25"/>
      <c r="L219" s="25"/>
      <c r="M219" s="25"/>
      <c r="N219" s="25"/>
      <c r="O219" s="25"/>
      <c r="P219" s="25"/>
      <c r="Q219" s="25"/>
      <c r="R219" s="25"/>
      <c r="S219" s="25"/>
      <c r="T219" s="25"/>
      <c r="U219" s="25"/>
      <c r="V219" s="25"/>
      <c r="W219" s="17" t="s">
        <v>665</v>
      </c>
      <c r="X219" s="17"/>
      <c r="Y219" s="25"/>
      <c r="Z219" s="25"/>
      <c r="AA219" s="25"/>
      <c r="AB219" s="25"/>
      <c r="AC219" s="25"/>
    </row>
    <row r="220" spans="1:29" x14ac:dyDescent="0.3">
      <c r="A220" s="25"/>
      <c r="B220" s="25"/>
      <c r="C220" s="25"/>
      <c r="D220" s="25"/>
      <c r="E220" s="25"/>
      <c r="F220" s="25"/>
      <c r="G220" s="25"/>
      <c r="H220" s="25"/>
      <c r="I220" s="25"/>
      <c r="J220" s="25"/>
      <c r="K220" s="25"/>
      <c r="L220" s="25"/>
      <c r="M220" s="25"/>
      <c r="N220" s="25"/>
      <c r="O220" s="25"/>
      <c r="P220" s="25"/>
      <c r="Q220" s="25"/>
      <c r="R220" s="25"/>
      <c r="S220" s="25"/>
      <c r="T220" s="25"/>
      <c r="U220" s="25"/>
      <c r="V220" s="25"/>
      <c r="W220" s="17" t="s">
        <v>666</v>
      </c>
      <c r="X220" s="17"/>
      <c r="Y220" s="25"/>
      <c r="Z220" s="25"/>
      <c r="AA220" s="25"/>
      <c r="AB220" s="25"/>
      <c r="AC220" s="25"/>
    </row>
    <row r="221" spans="1:29" x14ac:dyDescent="0.3">
      <c r="A221" s="25"/>
      <c r="B221" s="25"/>
      <c r="C221" s="25"/>
      <c r="D221" s="25"/>
      <c r="E221" s="25"/>
      <c r="F221" s="25"/>
      <c r="G221" s="25"/>
      <c r="H221" s="25"/>
      <c r="I221" s="25"/>
      <c r="J221" s="25"/>
      <c r="K221" s="25"/>
      <c r="L221" s="25"/>
      <c r="M221" s="25"/>
      <c r="N221" s="25"/>
      <c r="O221" s="25"/>
      <c r="P221" s="25"/>
      <c r="Q221" s="25"/>
      <c r="R221" s="25"/>
      <c r="S221" s="25"/>
      <c r="T221" s="25"/>
      <c r="U221" s="25"/>
      <c r="V221" s="25"/>
      <c r="W221" s="17" t="s">
        <v>667</v>
      </c>
      <c r="X221" s="17"/>
      <c r="Y221" s="25"/>
      <c r="Z221" s="25"/>
      <c r="AA221" s="25"/>
      <c r="AB221" s="25"/>
      <c r="AC221" s="25"/>
    </row>
    <row r="222" spans="1:29" x14ac:dyDescent="0.3">
      <c r="A222" s="25"/>
      <c r="B222" s="25"/>
      <c r="C222" s="25"/>
      <c r="D222" s="25"/>
      <c r="E222" s="25"/>
      <c r="F222" s="25"/>
      <c r="G222" s="25"/>
      <c r="H222" s="25"/>
      <c r="I222" s="25"/>
      <c r="J222" s="25"/>
      <c r="K222" s="25"/>
      <c r="L222" s="25"/>
      <c r="M222" s="25"/>
      <c r="N222" s="25"/>
      <c r="O222" s="25"/>
      <c r="P222" s="25"/>
      <c r="Q222" s="25"/>
      <c r="R222" s="25"/>
      <c r="S222" s="25"/>
      <c r="T222" s="25"/>
      <c r="U222" s="25"/>
      <c r="V222" s="25"/>
      <c r="W222" s="17" t="s">
        <v>668</v>
      </c>
      <c r="X222" s="17"/>
      <c r="Y222" s="25"/>
      <c r="Z222" s="25"/>
      <c r="AA222" s="25"/>
      <c r="AB222" s="25"/>
      <c r="AC222" s="25"/>
    </row>
    <row r="223" spans="1:29" x14ac:dyDescent="0.3">
      <c r="A223" s="25"/>
      <c r="B223" s="25"/>
      <c r="C223" s="25"/>
      <c r="D223" s="25"/>
      <c r="E223" s="25"/>
      <c r="F223" s="25"/>
      <c r="G223" s="25"/>
      <c r="H223" s="25"/>
      <c r="I223" s="25"/>
      <c r="J223" s="25"/>
      <c r="K223" s="25"/>
      <c r="L223" s="25"/>
      <c r="M223" s="25"/>
      <c r="N223" s="25"/>
      <c r="O223" s="25"/>
      <c r="P223" s="25"/>
      <c r="Q223" s="25"/>
      <c r="R223" s="25"/>
      <c r="S223" s="25"/>
      <c r="T223" s="25"/>
      <c r="U223" s="25"/>
      <c r="V223" s="25"/>
      <c r="W223" s="17" t="s">
        <v>669</v>
      </c>
      <c r="X223" s="17"/>
      <c r="Y223" s="25"/>
      <c r="Z223" s="25"/>
      <c r="AA223" s="25"/>
      <c r="AB223" s="25"/>
      <c r="AC223" s="25"/>
    </row>
    <row r="224" spans="1:29" x14ac:dyDescent="0.3">
      <c r="A224" s="25"/>
      <c r="B224" s="25"/>
      <c r="C224" s="25"/>
      <c r="D224" s="25"/>
      <c r="E224" s="25"/>
      <c r="F224" s="25"/>
      <c r="G224" s="25"/>
      <c r="H224" s="25"/>
      <c r="I224" s="25"/>
      <c r="J224" s="25"/>
      <c r="K224" s="25"/>
      <c r="L224" s="25"/>
      <c r="M224" s="25"/>
      <c r="N224" s="25"/>
      <c r="O224" s="25"/>
      <c r="P224" s="25"/>
      <c r="Q224" s="25"/>
      <c r="R224" s="25"/>
      <c r="S224" s="25"/>
      <c r="T224" s="25"/>
      <c r="U224" s="25"/>
      <c r="V224" s="25"/>
      <c r="W224" s="17" t="s">
        <v>670</v>
      </c>
      <c r="X224" s="17"/>
      <c r="Y224" s="25"/>
      <c r="Z224" s="25"/>
      <c r="AA224" s="25"/>
      <c r="AB224" s="25"/>
      <c r="AC224" s="25"/>
    </row>
    <row r="225" spans="1:29" x14ac:dyDescent="0.3">
      <c r="A225" s="25"/>
      <c r="B225" s="25"/>
      <c r="C225" s="25"/>
      <c r="D225" s="25"/>
      <c r="E225" s="25"/>
      <c r="F225" s="25"/>
      <c r="G225" s="25"/>
      <c r="H225" s="25"/>
      <c r="I225" s="25"/>
      <c r="J225" s="25"/>
      <c r="K225" s="25"/>
      <c r="L225" s="25"/>
      <c r="M225" s="25"/>
      <c r="N225" s="25"/>
      <c r="O225" s="25"/>
      <c r="P225" s="25"/>
      <c r="Q225" s="25"/>
      <c r="R225" s="25"/>
      <c r="S225" s="25"/>
      <c r="T225" s="25"/>
      <c r="U225" s="25"/>
      <c r="V225" s="25"/>
      <c r="W225" s="17" t="s">
        <v>671</v>
      </c>
      <c r="X225" s="17"/>
      <c r="Y225" s="25"/>
      <c r="Z225" s="25"/>
      <c r="AA225" s="25"/>
      <c r="AB225" s="25"/>
      <c r="AC225" s="25"/>
    </row>
    <row r="226" spans="1:29" x14ac:dyDescent="0.3">
      <c r="A226" s="25"/>
      <c r="B226" s="25"/>
      <c r="C226" s="25"/>
      <c r="D226" s="25"/>
      <c r="E226" s="25"/>
      <c r="F226" s="25"/>
      <c r="G226" s="25"/>
      <c r="H226" s="25"/>
      <c r="I226" s="25"/>
      <c r="J226" s="25"/>
      <c r="K226" s="25"/>
      <c r="L226" s="25"/>
      <c r="M226" s="25"/>
      <c r="N226" s="25"/>
      <c r="O226" s="25"/>
      <c r="P226" s="25"/>
      <c r="Q226" s="25"/>
      <c r="R226" s="25"/>
      <c r="S226" s="25"/>
      <c r="T226" s="25"/>
      <c r="U226" s="25"/>
      <c r="V226" s="25"/>
      <c r="W226" s="17" t="s">
        <v>672</v>
      </c>
      <c r="X226" s="17"/>
      <c r="Y226" s="25"/>
      <c r="Z226" s="25"/>
      <c r="AA226" s="25"/>
      <c r="AB226" s="25"/>
      <c r="AC226" s="25"/>
    </row>
    <row r="227" spans="1:29" x14ac:dyDescent="0.3">
      <c r="A227" s="25"/>
      <c r="B227" s="25"/>
      <c r="C227" s="25"/>
      <c r="D227" s="25"/>
      <c r="E227" s="25"/>
      <c r="F227" s="25"/>
      <c r="G227" s="25"/>
      <c r="H227" s="25"/>
      <c r="I227" s="25"/>
      <c r="J227" s="25"/>
      <c r="K227" s="25"/>
      <c r="L227" s="25"/>
      <c r="M227" s="25"/>
      <c r="N227" s="25"/>
      <c r="O227" s="25"/>
      <c r="P227" s="25"/>
      <c r="Q227" s="25"/>
      <c r="R227" s="25"/>
      <c r="S227" s="25"/>
      <c r="T227" s="25"/>
      <c r="U227" s="25"/>
      <c r="V227" s="25"/>
      <c r="W227" s="17" t="s">
        <v>673</v>
      </c>
      <c r="X227" s="17"/>
      <c r="Y227" s="25"/>
      <c r="Z227" s="25"/>
      <c r="AA227" s="25"/>
      <c r="AB227" s="25"/>
      <c r="AC227" s="25"/>
    </row>
    <row r="228" spans="1:29" x14ac:dyDescent="0.3">
      <c r="A228" s="25"/>
      <c r="B228" s="25"/>
      <c r="C228" s="25"/>
      <c r="D228" s="25"/>
      <c r="E228" s="25"/>
      <c r="F228" s="25"/>
      <c r="G228" s="25"/>
      <c r="H228" s="25"/>
      <c r="I228" s="25"/>
      <c r="J228" s="25"/>
      <c r="K228" s="25"/>
      <c r="L228" s="25"/>
      <c r="M228" s="25"/>
      <c r="N228" s="25"/>
      <c r="O228" s="25"/>
      <c r="P228" s="25"/>
      <c r="Q228" s="25"/>
      <c r="R228" s="25"/>
      <c r="S228" s="25"/>
      <c r="T228" s="25"/>
      <c r="U228" s="25"/>
      <c r="V228" s="25"/>
      <c r="W228" s="17" t="s">
        <v>674</v>
      </c>
      <c r="X228" s="17"/>
      <c r="Y228" s="25"/>
      <c r="Z228" s="25"/>
      <c r="AA228" s="25"/>
      <c r="AB228" s="25"/>
      <c r="AC228" s="25"/>
    </row>
    <row r="229" spans="1:29" x14ac:dyDescent="0.3">
      <c r="A229" s="25"/>
      <c r="B229" s="25"/>
      <c r="C229" s="25"/>
      <c r="D229" s="25"/>
      <c r="E229" s="25"/>
      <c r="F229" s="25"/>
      <c r="G229" s="25"/>
      <c r="H229" s="25"/>
      <c r="I229" s="25"/>
      <c r="J229" s="25"/>
      <c r="K229" s="25"/>
      <c r="L229" s="25"/>
      <c r="M229" s="25"/>
      <c r="N229" s="25"/>
      <c r="O229" s="25"/>
      <c r="P229" s="25"/>
      <c r="Q229" s="25"/>
      <c r="R229" s="25"/>
      <c r="S229" s="25"/>
      <c r="T229" s="25"/>
      <c r="U229" s="25"/>
      <c r="V229" s="25"/>
      <c r="W229" s="17" t="s">
        <v>675</v>
      </c>
      <c r="X229" s="17"/>
      <c r="Y229" s="25"/>
      <c r="Z229" s="25"/>
      <c r="AA229" s="25"/>
      <c r="AB229" s="25"/>
      <c r="AC229" s="25"/>
    </row>
    <row r="230" spans="1:29" x14ac:dyDescent="0.3">
      <c r="A230" s="25"/>
      <c r="B230" s="25"/>
      <c r="C230" s="25"/>
      <c r="D230" s="25"/>
      <c r="E230" s="25"/>
      <c r="F230" s="25"/>
      <c r="G230" s="25"/>
      <c r="H230" s="25"/>
      <c r="I230" s="25"/>
      <c r="J230" s="25"/>
      <c r="K230" s="25"/>
      <c r="L230" s="25"/>
      <c r="M230" s="25"/>
      <c r="N230" s="25"/>
      <c r="O230" s="25"/>
      <c r="P230" s="25"/>
      <c r="Q230" s="25"/>
      <c r="R230" s="25"/>
      <c r="S230" s="25"/>
      <c r="T230" s="25"/>
      <c r="U230" s="25"/>
      <c r="V230" s="25"/>
      <c r="W230" s="17" t="s">
        <v>676</v>
      </c>
      <c r="X230" s="17"/>
      <c r="Y230" s="25"/>
      <c r="Z230" s="25"/>
      <c r="AA230" s="25"/>
      <c r="AB230" s="25"/>
      <c r="AC230" s="25"/>
    </row>
    <row r="231" spans="1:29" x14ac:dyDescent="0.3">
      <c r="A231" s="25"/>
      <c r="B231" s="25"/>
      <c r="C231" s="25"/>
      <c r="D231" s="25"/>
      <c r="E231" s="25"/>
      <c r="F231" s="25"/>
      <c r="G231" s="25"/>
      <c r="H231" s="25"/>
      <c r="I231" s="25"/>
      <c r="J231" s="25"/>
      <c r="K231" s="25"/>
      <c r="L231" s="25"/>
      <c r="M231" s="25"/>
      <c r="N231" s="25"/>
      <c r="O231" s="25"/>
      <c r="P231" s="25"/>
      <c r="Q231" s="25"/>
      <c r="R231" s="25"/>
      <c r="S231" s="25"/>
      <c r="T231" s="25"/>
      <c r="U231" s="25"/>
      <c r="V231" s="25"/>
      <c r="W231" s="17" t="s">
        <v>677</v>
      </c>
      <c r="X231" s="17"/>
      <c r="Y231" s="25"/>
      <c r="Z231" s="25"/>
      <c r="AA231" s="25"/>
      <c r="AB231" s="25"/>
      <c r="AC231" s="25"/>
    </row>
    <row r="232" spans="1:29" x14ac:dyDescent="0.3">
      <c r="A232" s="25"/>
      <c r="B232" s="25"/>
      <c r="C232" s="25"/>
      <c r="D232" s="25"/>
      <c r="E232" s="25"/>
      <c r="F232" s="25"/>
      <c r="G232" s="25"/>
      <c r="H232" s="25"/>
      <c r="I232" s="25"/>
      <c r="J232" s="25"/>
      <c r="K232" s="25"/>
      <c r="L232" s="25"/>
      <c r="M232" s="25"/>
      <c r="N232" s="25"/>
      <c r="O232" s="25"/>
      <c r="P232" s="25"/>
      <c r="Q232" s="25"/>
      <c r="R232" s="25"/>
      <c r="S232" s="25"/>
      <c r="T232" s="25"/>
      <c r="U232" s="25"/>
      <c r="V232" s="25"/>
      <c r="W232" s="17" t="s">
        <v>678</v>
      </c>
      <c r="X232" s="17"/>
      <c r="Y232" s="25"/>
      <c r="Z232" s="25"/>
      <c r="AA232" s="25"/>
      <c r="AB232" s="25"/>
      <c r="AC232" s="25"/>
    </row>
    <row r="233" spans="1:29" x14ac:dyDescent="0.3">
      <c r="A233" s="25"/>
      <c r="B233" s="25"/>
      <c r="C233" s="25"/>
      <c r="D233" s="25"/>
      <c r="E233" s="25"/>
      <c r="F233" s="25"/>
      <c r="G233" s="25"/>
      <c r="H233" s="25"/>
      <c r="I233" s="25"/>
      <c r="J233" s="25"/>
      <c r="K233" s="25"/>
      <c r="L233" s="25"/>
      <c r="M233" s="25"/>
      <c r="N233" s="25"/>
      <c r="O233" s="25"/>
      <c r="P233" s="25"/>
      <c r="Q233" s="25"/>
      <c r="R233" s="25"/>
      <c r="S233" s="25"/>
      <c r="T233" s="25"/>
      <c r="U233" s="25"/>
      <c r="V233" s="25"/>
      <c r="W233" s="17" t="s">
        <v>679</v>
      </c>
      <c r="X233" s="17"/>
      <c r="Y233" s="25"/>
      <c r="Z233" s="25"/>
      <c r="AA233" s="25"/>
      <c r="AB233" s="25"/>
      <c r="AC233" s="25"/>
    </row>
    <row r="234" spans="1:29" x14ac:dyDescent="0.3">
      <c r="A234" s="25"/>
      <c r="B234" s="25"/>
      <c r="C234" s="25"/>
      <c r="D234" s="25"/>
      <c r="E234" s="25"/>
      <c r="F234" s="25"/>
      <c r="G234" s="25"/>
      <c r="H234" s="25"/>
      <c r="I234" s="25"/>
      <c r="J234" s="25"/>
      <c r="K234" s="25"/>
      <c r="L234" s="25"/>
      <c r="M234" s="25"/>
      <c r="N234" s="25"/>
      <c r="O234" s="25"/>
      <c r="P234" s="25"/>
      <c r="Q234" s="25"/>
      <c r="R234" s="25"/>
      <c r="S234" s="25"/>
      <c r="T234" s="25"/>
      <c r="U234" s="25"/>
      <c r="V234" s="25"/>
      <c r="W234" s="17" t="s">
        <v>680</v>
      </c>
      <c r="X234" s="17"/>
      <c r="Y234" s="25"/>
      <c r="Z234" s="25"/>
      <c r="AA234" s="25"/>
      <c r="AB234" s="25"/>
      <c r="AC234" s="25"/>
    </row>
    <row r="235" spans="1:29" x14ac:dyDescent="0.3">
      <c r="A235" s="25"/>
      <c r="B235" s="25"/>
      <c r="C235" s="25"/>
      <c r="D235" s="25"/>
      <c r="E235" s="25"/>
      <c r="F235" s="25"/>
      <c r="G235" s="25"/>
      <c r="H235" s="25"/>
      <c r="I235" s="25"/>
      <c r="J235" s="25"/>
      <c r="K235" s="25"/>
      <c r="L235" s="25"/>
      <c r="M235" s="25"/>
      <c r="N235" s="25"/>
      <c r="O235" s="25"/>
      <c r="P235" s="25"/>
      <c r="Q235" s="25"/>
      <c r="R235" s="25"/>
      <c r="S235" s="25"/>
      <c r="T235" s="25"/>
      <c r="U235" s="25"/>
      <c r="V235" s="25"/>
      <c r="W235" s="17" t="s">
        <v>681</v>
      </c>
      <c r="X235" s="17"/>
      <c r="Y235" s="25"/>
      <c r="Z235" s="25"/>
      <c r="AA235" s="25"/>
      <c r="AB235" s="25"/>
      <c r="AC235" s="25"/>
    </row>
    <row r="236" spans="1:29" x14ac:dyDescent="0.3">
      <c r="A236" s="25"/>
      <c r="B236" s="25"/>
      <c r="C236" s="25"/>
      <c r="D236" s="25"/>
      <c r="E236" s="25"/>
      <c r="F236" s="25"/>
      <c r="G236" s="25"/>
      <c r="H236" s="25"/>
      <c r="I236" s="25"/>
      <c r="J236" s="25"/>
      <c r="K236" s="25"/>
      <c r="L236" s="25"/>
      <c r="M236" s="25"/>
      <c r="N236" s="25"/>
      <c r="O236" s="25"/>
      <c r="P236" s="25"/>
      <c r="Q236" s="25"/>
      <c r="R236" s="25"/>
      <c r="S236" s="25"/>
      <c r="T236" s="25"/>
      <c r="U236" s="25"/>
      <c r="V236" s="25"/>
      <c r="W236" s="17" t="s">
        <v>682</v>
      </c>
      <c r="X236" s="17"/>
      <c r="Y236" s="25"/>
      <c r="Z236" s="25"/>
      <c r="AA236" s="25"/>
      <c r="AB236" s="25"/>
      <c r="AC236" s="25"/>
    </row>
    <row r="237" spans="1:29" x14ac:dyDescent="0.3">
      <c r="A237" s="25"/>
      <c r="B237" s="25"/>
      <c r="C237" s="25"/>
      <c r="D237" s="25"/>
      <c r="E237" s="25"/>
      <c r="F237" s="25"/>
      <c r="G237" s="25"/>
      <c r="H237" s="25"/>
      <c r="I237" s="25"/>
      <c r="J237" s="25"/>
      <c r="K237" s="25"/>
      <c r="L237" s="25"/>
      <c r="M237" s="25"/>
      <c r="N237" s="25"/>
      <c r="O237" s="25"/>
      <c r="P237" s="25"/>
      <c r="Q237" s="25"/>
      <c r="R237" s="25"/>
      <c r="S237" s="25"/>
      <c r="T237" s="25"/>
      <c r="U237" s="25"/>
      <c r="V237" s="25"/>
      <c r="W237" s="17" t="s">
        <v>683</v>
      </c>
      <c r="X237" s="17"/>
      <c r="Y237" s="25"/>
      <c r="Z237" s="25"/>
      <c r="AA237" s="25"/>
      <c r="AB237" s="25"/>
      <c r="AC237" s="25"/>
    </row>
    <row r="238" spans="1:29" x14ac:dyDescent="0.3">
      <c r="A238" s="25"/>
      <c r="B238" s="25"/>
      <c r="C238" s="25"/>
      <c r="D238" s="25"/>
      <c r="E238" s="25"/>
      <c r="F238" s="25"/>
      <c r="G238" s="25"/>
      <c r="H238" s="25"/>
      <c r="I238" s="25"/>
      <c r="J238" s="25"/>
      <c r="K238" s="25"/>
      <c r="L238" s="25"/>
      <c r="M238" s="25"/>
      <c r="N238" s="25"/>
      <c r="O238" s="25"/>
      <c r="P238" s="25"/>
      <c r="Q238" s="25"/>
      <c r="R238" s="25"/>
      <c r="S238" s="25"/>
      <c r="T238" s="25"/>
      <c r="U238" s="25"/>
      <c r="V238" s="25"/>
      <c r="W238" s="17" t="s">
        <v>684</v>
      </c>
      <c r="X238" s="17"/>
      <c r="Y238" s="25"/>
      <c r="Z238" s="25"/>
      <c r="AA238" s="25"/>
      <c r="AB238" s="25"/>
      <c r="AC238" s="25"/>
    </row>
    <row r="239" spans="1:29" x14ac:dyDescent="0.3">
      <c r="A239" s="25"/>
      <c r="B239" s="25"/>
      <c r="C239" s="25"/>
      <c r="D239" s="25"/>
      <c r="E239" s="25"/>
      <c r="F239" s="25"/>
      <c r="G239" s="25"/>
      <c r="H239" s="25"/>
      <c r="I239" s="25"/>
      <c r="J239" s="25"/>
      <c r="K239" s="25"/>
      <c r="L239" s="25"/>
      <c r="M239" s="25"/>
      <c r="N239" s="25"/>
      <c r="O239" s="25"/>
      <c r="P239" s="25"/>
      <c r="Q239" s="25"/>
      <c r="R239" s="25"/>
      <c r="S239" s="25"/>
      <c r="T239" s="25"/>
      <c r="U239" s="25"/>
      <c r="V239" s="25"/>
      <c r="W239" s="17" t="s">
        <v>685</v>
      </c>
      <c r="X239" s="17"/>
      <c r="Y239" s="25"/>
      <c r="Z239" s="25"/>
      <c r="AA239" s="25"/>
      <c r="AB239" s="25"/>
      <c r="AC239" s="25"/>
    </row>
    <row r="240" spans="1:29" x14ac:dyDescent="0.3">
      <c r="A240" s="25"/>
      <c r="B240" s="25"/>
      <c r="C240" s="25"/>
      <c r="D240" s="25"/>
      <c r="E240" s="25"/>
      <c r="F240" s="25"/>
      <c r="G240" s="25"/>
      <c r="H240" s="25"/>
      <c r="I240" s="25"/>
      <c r="J240" s="25"/>
      <c r="K240" s="25"/>
      <c r="L240" s="25"/>
      <c r="M240" s="25"/>
      <c r="N240" s="25"/>
      <c r="O240" s="25"/>
      <c r="P240" s="25"/>
      <c r="Q240" s="25"/>
      <c r="R240" s="25"/>
      <c r="S240" s="25"/>
      <c r="T240" s="25"/>
      <c r="U240" s="25"/>
      <c r="V240" s="25"/>
      <c r="W240" s="17" t="s">
        <v>686</v>
      </c>
      <c r="X240" s="17"/>
      <c r="Y240" s="25"/>
      <c r="Z240" s="25"/>
      <c r="AA240" s="25"/>
      <c r="AB240" s="25"/>
      <c r="AC240" s="25"/>
    </row>
    <row r="241" spans="1:29" x14ac:dyDescent="0.3">
      <c r="A241" s="25"/>
      <c r="B241" s="25"/>
      <c r="C241" s="25"/>
      <c r="D241" s="25"/>
      <c r="E241" s="25"/>
      <c r="F241" s="25"/>
      <c r="G241" s="25"/>
      <c r="H241" s="25"/>
      <c r="I241" s="25"/>
      <c r="J241" s="25"/>
      <c r="K241" s="25"/>
      <c r="L241" s="25"/>
      <c r="M241" s="25"/>
      <c r="N241" s="25"/>
      <c r="O241" s="25"/>
      <c r="P241" s="25"/>
      <c r="Q241" s="25"/>
      <c r="R241" s="25"/>
      <c r="S241" s="25"/>
      <c r="T241" s="25"/>
      <c r="U241" s="25"/>
      <c r="V241" s="25"/>
      <c r="W241" s="17" t="s">
        <v>687</v>
      </c>
      <c r="X241" s="17"/>
      <c r="Y241" s="25"/>
      <c r="Z241" s="25"/>
      <c r="AA241" s="25"/>
      <c r="AB241" s="25"/>
      <c r="AC241" s="25"/>
    </row>
    <row r="242" spans="1:29" x14ac:dyDescent="0.3">
      <c r="A242" s="25"/>
      <c r="B242" s="25"/>
      <c r="C242" s="25"/>
      <c r="D242" s="25"/>
      <c r="E242" s="25"/>
      <c r="F242" s="25"/>
      <c r="G242" s="25"/>
      <c r="H242" s="25"/>
      <c r="I242" s="25"/>
      <c r="J242" s="25"/>
      <c r="K242" s="25"/>
      <c r="L242" s="25"/>
      <c r="M242" s="25"/>
      <c r="N242" s="25"/>
      <c r="O242" s="25"/>
      <c r="P242" s="25"/>
      <c r="Q242" s="25"/>
      <c r="R242" s="25"/>
      <c r="S242" s="25"/>
      <c r="T242" s="25"/>
      <c r="U242" s="25"/>
      <c r="V242" s="25"/>
      <c r="W242" s="17" t="s">
        <v>688</v>
      </c>
      <c r="X242" s="17"/>
      <c r="Y242" s="25"/>
      <c r="Z242" s="25"/>
      <c r="AA242" s="25"/>
      <c r="AB242" s="25"/>
      <c r="AC242" s="25"/>
    </row>
    <row r="243" spans="1:29" x14ac:dyDescent="0.3">
      <c r="A243" s="25"/>
      <c r="B243" s="25"/>
      <c r="C243" s="25"/>
      <c r="D243" s="25"/>
      <c r="E243" s="25"/>
      <c r="F243" s="25"/>
      <c r="G243" s="25"/>
      <c r="H243" s="25"/>
      <c r="I243" s="25"/>
      <c r="J243" s="25"/>
      <c r="K243" s="25"/>
      <c r="L243" s="25"/>
      <c r="M243" s="25"/>
      <c r="N243" s="25"/>
      <c r="O243" s="25"/>
      <c r="P243" s="25"/>
      <c r="Q243" s="25"/>
      <c r="R243" s="25"/>
      <c r="S243" s="25"/>
      <c r="T243" s="25"/>
      <c r="U243" s="25"/>
      <c r="V243" s="25"/>
      <c r="W243" s="17" t="s">
        <v>689</v>
      </c>
      <c r="X243" s="17"/>
      <c r="Y243" s="25"/>
      <c r="Z243" s="25"/>
      <c r="AA243" s="25"/>
      <c r="AB243" s="25"/>
      <c r="AC243" s="25"/>
    </row>
    <row r="244" spans="1:29" x14ac:dyDescent="0.3">
      <c r="A244" s="25"/>
      <c r="B244" s="25"/>
      <c r="C244" s="25"/>
      <c r="D244" s="25"/>
      <c r="E244" s="25"/>
      <c r="F244" s="25"/>
      <c r="G244" s="25"/>
      <c r="H244" s="25"/>
      <c r="I244" s="25"/>
      <c r="J244" s="25"/>
      <c r="K244" s="25"/>
      <c r="L244" s="25"/>
      <c r="M244" s="25"/>
      <c r="N244" s="25"/>
      <c r="O244" s="25"/>
      <c r="P244" s="25"/>
      <c r="Q244" s="25"/>
      <c r="R244" s="25"/>
      <c r="S244" s="25"/>
      <c r="T244" s="25"/>
      <c r="U244" s="25"/>
      <c r="V244" s="25"/>
      <c r="W244" s="17" t="s">
        <v>690</v>
      </c>
      <c r="X244" s="17"/>
      <c r="Y244" s="25"/>
      <c r="Z244" s="25"/>
      <c r="AA244" s="25"/>
      <c r="AB244" s="25"/>
      <c r="AC244" s="25"/>
    </row>
    <row r="245" spans="1:29" x14ac:dyDescent="0.3">
      <c r="A245" s="25"/>
      <c r="B245" s="25"/>
      <c r="C245" s="25"/>
      <c r="D245" s="25"/>
      <c r="E245" s="25"/>
      <c r="F245" s="25"/>
      <c r="G245" s="25"/>
      <c r="H245" s="25"/>
      <c r="I245" s="25"/>
      <c r="J245" s="25"/>
      <c r="K245" s="25"/>
      <c r="L245" s="25"/>
      <c r="M245" s="25"/>
      <c r="N245" s="25"/>
      <c r="O245" s="25"/>
      <c r="P245" s="25"/>
      <c r="Q245" s="25"/>
      <c r="R245" s="25"/>
      <c r="S245" s="25"/>
      <c r="T245" s="25"/>
      <c r="U245" s="25"/>
      <c r="V245" s="25"/>
      <c r="W245" s="17" t="s">
        <v>691</v>
      </c>
      <c r="X245" s="17"/>
      <c r="Y245" s="25"/>
      <c r="Z245" s="25"/>
      <c r="AA245" s="25"/>
      <c r="AB245" s="25"/>
      <c r="AC245" s="25"/>
    </row>
    <row r="246" spans="1:29" x14ac:dyDescent="0.3">
      <c r="A246" s="25"/>
      <c r="B246" s="25"/>
      <c r="C246" s="25"/>
      <c r="D246" s="25"/>
      <c r="E246" s="25"/>
      <c r="F246" s="25"/>
      <c r="G246" s="25"/>
      <c r="H246" s="25"/>
      <c r="I246" s="25"/>
      <c r="J246" s="25"/>
      <c r="K246" s="25"/>
      <c r="L246" s="25"/>
      <c r="M246" s="25"/>
      <c r="N246" s="25"/>
      <c r="O246" s="25"/>
      <c r="P246" s="25"/>
      <c r="Q246" s="25"/>
      <c r="R246" s="25"/>
      <c r="S246" s="25"/>
      <c r="T246" s="25"/>
      <c r="U246" s="25"/>
      <c r="V246" s="25"/>
      <c r="W246" s="17" t="s">
        <v>692</v>
      </c>
      <c r="X246" s="17"/>
      <c r="Y246" s="25"/>
      <c r="Z246" s="25"/>
      <c r="AA246" s="25"/>
      <c r="AB246" s="25"/>
      <c r="AC246" s="25"/>
    </row>
    <row r="247" spans="1:29" x14ac:dyDescent="0.3">
      <c r="A247" s="25"/>
      <c r="B247" s="25"/>
      <c r="C247" s="25"/>
      <c r="D247" s="25"/>
      <c r="E247" s="25"/>
      <c r="F247" s="25"/>
      <c r="G247" s="25"/>
      <c r="H247" s="25"/>
      <c r="I247" s="25"/>
      <c r="J247" s="25"/>
      <c r="K247" s="25"/>
      <c r="L247" s="25"/>
      <c r="M247" s="25"/>
      <c r="N247" s="25"/>
      <c r="O247" s="25"/>
      <c r="P247" s="25"/>
      <c r="Q247" s="25"/>
      <c r="R247" s="25"/>
      <c r="S247" s="25"/>
      <c r="T247" s="25"/>
      <c r="U247" s="25"/>
      <c r="V247" s="25"/>
      <c r="W247" s="17" t="s">
        <v>693</v>
      </c>
      <c r="X247" s="17"/>
      <c r="Y247" s="25"/>
      <c r="Z247" s="25"/>
      <c r="AA247" s="25"/>
      <c r="AB247" s="25"/>
      <c r="AC247" s="25"/>
    </row>
    <row r="248" spans="1:29" x14ac:dyDescent="0.3">
      <c r="A248" s="25"/>
      <c r="B248" s="25"/>
      <c r="C248" s="25"/>
      <c r="D248" s="25"/>
      <c r="E248" s="25"/>
      <c r="F248" s="25"/>
      <c r="G248" s="25"/>
      <c r="H248" s="25"/>
      <c r="I248" s="25"/>
      <c r="J248" s="25"/>
      <c r="K248" s="25"/>
      <c r="L248" s="25"/>
      <c r="M248" s="25"/>
      <c r="N248" s="25"/>
      <c r="O248" s="25"/>
      <c r="P248" s="25"/>
      <c r="Q248" s="25"/>
      <c r="R248" s="25"/>
      <c r="S248" s="25"/>
      <c r="T248" s="25"/>
      <c r="U248" s="25"/>
      <c r="V248" s="25"/>
      <c r="W248" s="17" t="s">
        <v>694</v>
      </c>
      <c r="X248" s="17"/>
      <c r="Y248" s="25"/>
      <c r="Z248" s="25"/>
      <c r="AA248" s="25"/>
      <c r="AB248" s="25"/>
      <c r="AC248" s="25"/>
    </row>
    <row r="249" spans="1:29" x14ac:dyDescent="0.3">
      <c r="A249" s="25"/>
      <c r="B249" s="25"/>
      <c r="C249" s="25"/>
      <c r="D249" s="25"/>
      <c r="E249" s="25"/>
      <c r="F249" s="25"/>
      <c r="G249" s="25"/>
      <c r="H249" s="25"/>
      <c r="I249" s="25"/>
      <c r="J249" s="25"/>
      <c r="K249" s="25"/>
      <c r="L249" s="25"/>
      <c r="M249" s="25"/>
      <c r="N249" s="25"/>
      <c r="O249" s="25"/>
      <c r="P249" s="25"/>
      <c r="Q249" s="25"/>
      <c r="R249" s="25"/>
      <c r="S249" s="25"/>
      <c r="T249" s="25"/>
      <c r="U249" s="25"/>
      <c r="V249" s="25"/>
      <c r="W249" s="17" t="s">
        <v>695</v>
      </c>
      <c r="X249" s="17"/>
      <c r="Y249" s="25"/>
      <c r="Z249" s="25"/>
      <c r="AA249" s="25"/>
      <c r="AB249" s="25"/>
      <c r="AC249" s="25"/>
    </row>
    <row r="250" spans="1:29" x14ac:dyDescent="0.3">
      <c r="A250" s="25"/>
      <c r="B250" s="25"/>
      <c r="C250" s="25"/>
      <c r="D250" s="25"/>
      <c r="E250" s="25"/>
      <c r="F250" s="25"/>
      <c r="G250" s="25"/>
      <c r="H250" s="25"/>
      <c r="I250" s="25"/>
      <c r="J250" s="25"/>
      <c r="K250" s="25"/>
      <c r="L250" s="25"/>
      <c r="M250" s="25"/>
      <c r="N250" s="25"/>
      <c r="O250" s="25"/>
      <c r="P250" s="25"/>
      <c r="Q250" s="25"/>
      <c r="R250" s="25"/>
      <c r="S250" s="25"/>
      <c r="T250" s="25"/>
      <c r="U250" s="25"/>
      <c r="V250" s="25"/>
      <c r="W250" s="17" t="s">
        <v>696</v>
      </c>
      <c r="X250" s="17"/>
      <c r="Y250" s="25"/>
      <c r="Z250" s="25"/>
      <c r="AA250" s="25"/>
      <c r="AB250" s="25"/>
      <c r="AC250" s="25"/>
    </row>
    <row r="251" spans="1:29" x14ac:dyDescent="0.3">
      <c r="A251" s="25"/>
      <c r="B251" s="25"/>
      <c r="C251" s="25"/>
      <c r="D251" s="25"/>
      <c r="E251" s="25"/>
      <c r="F251" s="25"/>
      <c r="G251" s="25"/>
      <c r="H251" s="25"/>
      <c r="I251" s="25"/>
      <c r="J251" s="25"/>
      <c r="K251" s="25"/>
      <c r="L251" s="25"/>
      <c r="M251" s="25"/>
      <c r="N251" s="25"/>
      <c r="O251" s="25"/>
      <c r="P251" s="25"/>
      <c r="Q251" s="25"/>
      <c r="R251" s="25"/>
      <c r="S251" s="25"/>
      <c r="T251" s="25"/>
      <c r="U251" s="25"/>
      <c r="V251" s="25"/>
      <c r="W251" s="17" t="s">
        <v>697</v>
      </c>
      <c r="X251" s="17"/>
      <c r="Y251" s="25"/>
      <c r="Z251" s="25"/>
      <c r="AA251" s="25"/>
      <c r="AB251" s="25"/>
      <c r="AC251" s="25"/>
    </row>
    <row r="252" spans="1:29" x14ac:dyDescent="0.3">
      <c r="A252" s="25"/>
      <c r="B252" s="25"/>
      <c r="C252" s="25"/>
      <c r="D252" s="25"/>
      <c r="E252" s="25"/>
      <c r="F252" s="25"/>
      <c r="G252" s="25"/>
      <c r="H252" s="25"/>
      <c r="I252" s="25"/>
      <c r="J252" s="25"/>
      <c r="K252" s="25"/>
      <c r="L252" s="25"/>
      <c r="M252" s="25"/>
      <c r="N252" s="25"/>
      <c r="O252" s="25"/>
      <c r="P252" s="25"/>
      <c r="Q252" s="25"/>
      <c r="R252" s="25"/>
      <c r="S252" s="25"/>
      <c r="T252" s="25"/>
      <c r="U252" s="25"/>
      <c r="V252" s="25"/>
      <c r="W252" s="17" t="s">
        <v>698</v>
      </c>
      <c r="X252" s="17"/>
      <c r="Y252" s="25"/>
      <c r="Z252" s="25"/>
      <c r="AA252" s="25"/>
      <c r="AB252" s="25"/>
      <c r="AC252" s="25"/>
    </row>
    <row r="253" spans="1:29" x14ac:dyDescent="0.3">
      <c r="A253" s="25"/>
      <c r="B253" s="25"/>
      <c r="C253" s="25"/>
      <c r="D253" s="25"/>
      <c r="E253" s="25"/>
      <c r="F253" s="25"/>
      <c r="G253" s="25"/>
      <c r="H253" s="25"/>
      <c r="I253" s="25"/>
      <c r="J253" s="25"/>
      <c r="K253" s="25"/>
      <c r="L253" s="25"/>
      <c r="M253" s="25"/>
      <c r="N253" s="25"/>
      <c r="O253" s="25"/>
      <c r="P253" s="25"/>
      <c r="Q253" s="25"/>
      <c r="R253" s="25"/>
      <c r="S253" s="25"/>
      <c r="T253" s="25"/>
      <c r="U253" s="25"/>
      <c r="V253" s="25"/>
      <c r="W253" s="17" t="s">
        <v>699</v>
      </c>
      <c r="X253" s="17"/>
      <c r="Y253" s="25"/>
      <c r="Z253" s="25"/>
      <c r="AA253" s="25"/>
      <c r="AB253" s="25"/>
      <c r="AC253" s="25"/>
    </row>
    <row r="254" spans="1:29" x14ac:dyDescent="0.3">
      <c r="A254" s="25"/>
      <c r="B254" s="25"/>
      <c r="C254" s="25"/>
      <c r="D254" s="25"/>
      <c r="E254" s="25"/>
      <c r="F254" s="25"/>
      <c r="G254" s="25"/>
      <c r="H254" s="25"/>
      <c r="I254" s="25"/>
      <c r="J254" s="25"/>
      <c r="K254" s="25"/>
      <c r="L254" s="25"/>
      <c r="M254" s="25"/>
      <c r="N254" s="25"/>
      <c r="O254" s="25"/>
      <c r="P254" s="25"/>
      <c r="Q254" s="25"/>
      <c r="R254" s="25"/>
      <c r="S254" s="25"/>
      <c r="T254" s="25"/>
      <c r="U254" s="25"/>
      <c r="V254" s="25"/>
      <c r="W254" s="17" t="s">
        <v>700</v>
      </c>
      <c r="X254" s="17"/>
      <c r="Y254" s="25"/>
      <c r="Z254" s="25"/>
      <c r="AA254" s="25"/>
      <c r="AB254" s="25"/>
      <c r="AC254" s="25"/>
    </row>
    <row r="255" spans="1:29" x14ac:dyDescent="0.3">
      <c r="A255" s="25"/>
      <c r="B255" s="25"/>
      <c r="C255" s="25"/>
      <c r="D255" s="25"/>
      <c r="E255" s="25"/>
      <c r="F255" s="25"/>
      <c r="G255" s="25"/>
      <c r="H255" s="25"/>
      <c r="I255" s="25"/>
      <c r="J255" s="25"/>
      <c r="K255" s="25"/>
      <c r="L255" s="25"/>
      <c r="M255" s="25"/>
      <c r="N255" s="25"/>
      <c r="O255" s="25"/>
      <c r="P255" s="25"/>
      <c r="Q255" s="25"/>
      <c r="R255" s="25"/>
      <c r="S255" s="25"/>
      <c r="T255" s="25"/>
      <c r="U255" s="25"/>
      <c r="V255" s="25"/>
      <c r="W255" s="17" t="s">
        <v>701</v>
      </c>
      <c r="X255" s="17"/>
      <c r="Y255" s="25"/>
      <c r="Z255" s="25"/>
      <c r="AA255" s="25"/>
      <c r="AB255" s="25"/>
      <c r="AC255" s="25"/>
    </row>
    <row r="256" spans="1:29" x14ac:dyDescent="0.3">
      <c r="A256" s="25"/>
      <c r="B256" s="25"/>
      <c r="C256" s="25"/>
      <c r="D256" s="25"/>
      <c r="E256" s="25"/>
      <c r="F256" s="25"/>
      <c r="G256" s="25"/>
      <c r="H256" s="25"/>
      <c r="I256" s="25"/>
      <c r="J256" s="25"/>
      <c r="K256" s="25"/>
      <c r="L256" s="25"/>
      <c r="M256" s="25"/>
      <c r="N256" s="25"/>
      <c r="O256" s="25"/>
      <c r="P256" s="25"/>
      <c r="Q256" s="25"/>
      <c r="R256" s="25"/>
      <c r="S256" s="25"/>
      <c r="T256" s="25"/>
      <c r="U256" s="25"/>
      <c r="V256" s="25"/>
      <c r="W256" s="17" t="s">
        <v>702</v>
      </c>
      <c r="X256" s="17"/>
      <c r="Y256" s="25"/>
      <c r="Z256" s="25"/>
      <c r="AA256" s="25"/>
      <c r="AB256" s="25"/>
      <c r="AC256" s="25"/>
    </row>
    <row r="257" spans="1:29" x14ac:dyDescent="0.3">
      <c r="A257" s="25"/>
      <c r="B257" s="25"/>
      <c r="C257" s="25"/>
      <c r="D257" s="25"/>
      <c r="E257" s="25"/>
      <c r="F257" s="25"/>
      <c r="G257" s="25"/>
      <c r="H257" s="25"/>
      <c r="I257" s="25"/>
      <c r="J257" s="25"/>
      <c r="K257" s="25"/>
      <c r="L257" s="25"/>
      <c r="M257" s="25"/>
      <c r="N257" s="25"/>
      <c r="O257" s="25"/>
      <c r="P257" s="25"/>
      <c r="Q257" s="25"/>
      <c r="R257" s="25"/>
      <c r="S257" s="25"/>
      <c r="T257" s="25"/>
      <c r="U257" s="25"/>
      <c r="V257" s="25"/>
      <c r="W257" s="17" t="s">
        <v>703</v>
      </c>
      <c r="X257" s="17"/>
      <c r="Y257" s="25"/>
      <c r="Z257" s="25"/>
      <c r="AA257" s="25"/>
      <c r="AB257" s="25"/>
      <c r="AC257" s="25"/>
    </row>
    <row r="258" spans="1:29" x14ac:dyDescent="0.3">
      <c r="A258" s="25"/>
      <c r="B258" s="25"/>
      <c r="C258" s="25"/>
      <c r="D258" s="25"/>
      <c r="E258" s="25"/>
      <c r="F258" s="25"/>
      <c r="G258" s="25"/>
      <c r="H258" s="25"/>
      <c r="I258" s="25"/>
      <c r="J258" s="25"/>
      <c r="K258" s="25"/>
      <c r="L258" s="25"/>
      <c r="M258" s="25"/>
      <c r="N258" s="25"/>
      <c r="O258" s="25"/>
      <c r="P258" s="25"/>
      <c r="Q258" s="25"/>
      <c r="R258" s="25"/>
      <c r="S258" s="25"/>
      <c r="T258" s="25"/>
      <c r="U258" s="25"/>
      <c r="V258" s="25"/>
      <c r="W258" s="17" t="s">
        <v>704</v>
      </c>
      <c r="X258" s="17"/>
      <c r="Y258" s="25"/>
      <c r="Z258" s="25"/>
      <c r="AA258" s="25"/>
      <c r="AB258" s="25"/>
      <c r="AC258" s="25"/>
    </row>
    <row r="259" spans="1:29" x14ac:dyDescent="0.3">
      <c r="A259" s="25"/>
      <c r="B259" s="25"/>
      <c r="C259" s="25"/>
      <c r="D259" s="25"/>
      <c r="E259" s="25"/>
      <c r="F259" s="25"/>
      <c r="G259" s="25"/>
      <c r="H259" s="25"/>
      <c r="I259" s="25"/>
      <c r="J259" s="25"/>
      <c r="K259" s="25"/>
      <c r="L259" s="25"/>
      <c r="M259" s="25"/>
      <c r="N259" s="25"/>
      <c r="O259" s="25"/>
      <c r="P259" s="25"/>
      <c r="Q259" s="25"/>
      <c r="R259" s="25"/>
      <c r="S259" s="25"/>
      <c r="T259" s="25"/>
      <c r="U259" s="25"/>
      <c r="V259" s="25"/>
      <c r="W259" s="17" t="s">
        <v>705</v>
      </c>
      <c r="X259" s="17"/>
      <c r="Y259" s="25"/>
      <c r="Z259" s="25"/>
      <c r="AA259" s="25"/>
      <c r="AB259" s="25"/>
      <c r="AC259" s="25"/>
    </row>
    <row r="260" spans="1:29" x14ac:dyDescent="0.3">
      <c r="A260" s="25"/>
      <c r="B260" s="25"/>
      <c r="C260" s="25"/>
      <c r="D260" s="25"/>
      <c r="E260" s="25"/>
      <c r="F260" s="25"/>
      <c r="G260" s="25"/>
      <c r="H260" s="25"/>
      <c r="I260" s="25"/>
      <c r="J260" s="25"/>
      <c r="K260" s="25"/>
      <c r="L260" s="25"/>
      <c r="M260" s="25"/>
      <c r="N260" s="25"/>
      <c r="O260" s="25"/>
      <c r="P260" s="25"/>
      <c r="Q260" s="25"/>
      <c r="R260" s="25"/>
      <c r="S260" s="25"/>
      <c r="T260" s="25"/>
      <c r="U260" s="25"/>
      <c r="V260" s="25"/>
      <c r="W260" s="17" t="s">
        <v>706</v>
      </c>
      <c r="X260" s="17"/>
      <c r="Y260" s="25"/>
      <c r="Z260" s="25"/>
      <c r="AA260" s="25"/>
      <c r="AB260" s="25"/>
      <c r="AC260" s="25"/>
    </row>
    <row r="261" spans="1:29" x14ac:dyDescent="0.3">
      <c r="A261" s="25"/>
      <c r="B261" s="25"/>
      <c r="C261" s="25"/>
      <c r="D261" s="25"/>
      <c r="E261" s="25"/>
      <c r="F261" s="25"/>
      <c r="G261" s="25"/>
      <c r="H261" s="25"/>
      <c r="I261" s="25"/>
      <c r="J261" s="25"/>
      <c r="K261" s="25"/>
      <c r="L261" s="25"/>
      <c r="M261" s="25"/>
      <c r="N261" s="25"/>
      <c r="O261" s="25"/>
      <c r="P261" s="25"/>
      <c r="Q261" s="25"/>
      <c r="R261" s="25"/>
      <c r="S261" s="25"/>
      <c r="T261" s="25"/>
      <c r="U261" s="25"/>
      <c r="V261" s="25"/>
      <c r="W261" s="17" t="s">
        <v>707</v>
      </c>
      <c r="X261" s="17"/>
      <c r="Y261" s="25"/>
      <c r="Z261" s="25"/>
      <c r="AA261" s="25"/>
      <c r="AB261" s="25"/>
      <c r="AC261" s="25"/>
    </row>
    <row r="262" spans="1:29" x14ac:dyDescent="0.3">
      <c r="A262" s="25"/>
      <c r="B262" s="25"/>
      <c r="C262" s="25"/>
      <c r="D262" s="25"/>
      <c r="E262" s="25"/>
      <c r="F262" s="25"/>
      <c r="G262" s="25"/>
      <c r="H262" s="25"/>
      <c r="I262" s="25"/>
      <c r="J262" s="25"/>
      <c r="K262" s="25"/>
      <c r="L262" s="25"/>
      <c r="M262" s="25"/>
      <c r="N262" s="25"/>
      <c r="O262" s="25"/>
      <c r="P262" s="25"/>
      <c r="Q262" s="25"/>
      <c r="R262" s="25"/>
      <c r="S262" s="25"/>
      <c r="T262" s="25"/>
      <c r="U262" s="25"/>
      <c r="V262" s="25"/>
      <c r="W262" s="17" t="s">
        <v>708</v>
      </c>
      <c r="X262" s="17"/>
      <c r="Y262" s="25"/>
      <c r="Z262" s="25"/>
      <c r="AA262" s="25"/>
      <c r="AB262" s="25"/>
      <c r="AC262" s="25"/>
    </row>
    <row r="263" spans="1:29" x14ac:dyDescent="0.3">
      <c r="A263" s="25"/>
      <c r="B263" s="25"/>
      <c r="C263" s="25"/>
      <c r="D263" s="25"/>
      <c r="E263" s="25"/>
      <c r="F263" s="25"/>
      <c r="G263" s="25"/>
      <c r="H263" s="25"/>
      <c r="I263" s="25"/>
      <c r="J263" s="25"/>
      <c r="K263" s="25"/>
      <c r="L263" s="25"/>
      <c r="M263" s="25"/>
      <c r="N263" s="25"/>
      <c r="O263" s="25"/>
      <c r="P263" s="25"/>
      <c r="Q263" s="25"/>
      <c r="R263" s="25"/>
      <c r="S263" s="25"/>
      <c r="T263" s="25"/>
      <c r="U263" s="25"/>
      <c r="V263" s="25"/>
      <c r="W263" s="17" t="s">
        <v>709</v>
      </c>
      <c r="X263" s="17"/>
      <c r="Y263" s="25"/>
      <c r="Z263" s="25"/>
      <c r="AA263" s="25"/>
      <c r="AB263" s="25"/>
      <c r="AC263" s="25"/>
    </row>
    <row r="264" spans="1:29" x14ac:dyDescent="0.3">
      <c r="A264" s="25"/>
      <c r="B264" s="25"/>
      <c r="C264" s="25"/>
      <c r="D264" s="25"/>
      <c r="E264" s="25"/>
      <c r="F264" s="25"/>
      <c r="G264" s="25"/>
      <c r="H264" s="25"/>
      <c r="I264" s="25"/>
      <c r="J264" s="25"/>
      <c r="K264" s="25"/>
      <c r="L264" s="25"/>
      <c r="M264" s="25"/>
      <c r="N264" s="25"/>
      <c r="O264" s="25"/>
      <c r="P264" s="25"/>
      <c r="Q264" s="25"/>
      <c r="R264" s="25"/>
      <c r="S264" s="25"/>
      <c r="T264" s="25"/>
      <c r="U264" s="25"/>
      <c r="V264" s="25"/>
      <c r="W264" s="17" t="s">
        <v>710</v>
      </c>
      <c r="X264" s="17"/>
      <c r="Y264" s="25"/>
      <c r="Z264" s="25"/>
      <c r="AA264" s="25"/>
      <c r="AB264" s="25"/>
      <c r="AC264" s="25"/>
    </row>
    <row r="265" spans="1:29" x14ac:dyDescent="0.3">
      <c r="A265" s="25"/>
      <c r="B265" s="25"/>
      <c r="C265" s="25"/>
      <c r="D265" s="25"/>
      <c r="E265" s="25"/>
      <c r="F265" s="25"/>
      <c r="G265" s="25"/>
      <c r="H265" s="25"/>
      <c r="I265" s="25"/>
      <c r="J265" s="25"/>
      <c r="K265" s="25"/>
      <c r="L265" s="25"/>
      <c r="M265" s="25"/>
      <c r="N265" s="25"/>
      <c r="O265" s="25"/>
      <c r="P265" s="25"/>
      <c r="Q265" s="25"/>
      <c r="R265" s="25"/>
      <c r="S265" s="25"/>
      <c r="T265" s="25"/>
      <c r="U265" s="25"/>
      <c r="V265" s="25"/>
      <c r="W265" s="17" t="s">
        <v>711</v>
      </c>
      <c r="X265" s="17"/>
      <c r="Y265" s="25"/>
      <c r="Z265" s="25"/>
      <c r="AA265" s="25"/>
      <c r="AB265" s="25"/>
      <c r="AC265" s="25"/>
    </row>
    <row r="266" spans="1:29" x14ac:dyDescent="0.3">
      <c r="A266" s="25"/>
      <c r="B266" s="25"/>
      <c r="C266" s="25"/>
      <c r="D266" s="25"/>
      <c r="E266" s="25"/>
      <c r="F266" s="25"/>
      <c r="G266" s="25"/>
      <c r="H266" s="25"/>
      <c r="I266" s="25"/>
      <c r="J266" s="25"/>
      <c r="K266" s="25"/>
      <c r="L266" s="25"/>
      <c r="M266" s="25"/>
      <c r="N266" s="25"/>
      <c r="O266" s="25"/>
      <c r="P266" s="25"/>
      <c r="Q266" s="25"/>
      <c r="R266" s="25"/>
      <c r="S266" s="25"/>
      <c r="T266" s="25"/>
      <c r="U266" s="25"/>
      <c r="V266" s="25"/>
      <c r="W266" s="17" t="s">
        <v>712</v>
      </c>
      <c r="X266" s="17"/>
      <c r="Y266" s="25"/>
      <c r="Z266" s="25"/>
      <c r="AA266" s="25"/>
      <c r="AB266" s="25"/>
      <c r="AC266" s="25"/>
    </row>
    <row r="267" spans="1:29" x14ac:dyDescent="0.3">
      <c r="A267" s="25"/>
      <c r="B267" s="25"/>
      <c r="C267" s="25"/>
      <c r="D267" s="25"/>
      <c r="E267" s="25"/>
      <c r="F267" s="25"/>
      <c r="G267" s="25"/>
      <c r="H267" s="25"/>
      <c r="I267" s="25"/>
      <c r="J267" s="25"/>
      <c r="K267" s="25"/>
      <c r="L267" s="25"/>
      <c r="M267" s="25"/>
      <c r="N267" s="25"/>
      <c r="O267" s="25"/>
      <c r="P267" s="25"/>
      <c r="Q267" s="25"/>
      <c r="R267" s="25"/>
      <c r="S267" s="25"/>
      <c r="T267" s="25"/>
      <c r="U267" s="25"/>
      <c r="V267" s="25"/>
      <c r="W267" s="17" t="s">
        <v>713</v>
      </c>
      <c r="X267" s="17"/>
      <c r="Y267" s="25"/>
      <c r="Z267" s="25"/>
      <c r="AA267" s="25"/>
      <c r="AB267" s="25"/>
      <c r="AC267" s="25"/>
    </row>
    <row r="268" spans="1:29" x14ac:dyDescent="0.3">
      <c r="A268" s="25"/>
      <c r="B268" s="25"/>
      <c r="C268" s="25"/>
      <c r="D268" s="25"/>
      <c r="E268" s="25"/>
      <c r="F268" s="25"/>
      <c r="G268" s="25"/>
      <c r="H268" s="25"/>
      <c r="I268" s="25"/>
      <c r="J268" s="25"/>
      <c r="K268" s="25"/>
      <c r="L268" s="25"/>
      <c r="M268" s="25"/>
      <c r="N268" s="25"/>
      <c r="O268" s="25"/>
      <c r="P268" s="25"/>
      <c r="Q268" s="25"/>
      <c r="R268" s="25"/>
      <c r="S268" s="25"/>
      <c r="T268" s="25"/>
      <c r="U268" s="25"/>
      <c r="V268" s="25"/>
      <c r="W268" s="17" t="s">
        <v>714</v>
      </c>
      <c r="X268" s="17"/>
      <c r="Y268" s="25"/>
      <c r="Z268" s="25"/>
      <c r="AA268" s="25"/>
      <c r="AB268" s="25"/>
      <c r="AC268" s="25"/>
    </row>
    <row r="269" spans="1:29" x14ac:dyDescent="0.3">
      <c r="A269" s="25"/>
      <c r="B269" s="25"/>
      <c r="C269" s="25"/>
      <c r="D269" s="25"/>
      <c r="E269" s="25"/>
      <c r="F269" s="25"/>
      <c r="G269" s="25"/>
      <c r="H269" s="25"/>
      <c r="I269" s="25"/>
      <c r="J269" s="25"/>
      <c r="K269" s="25"/>
      <c r="L269" s="25"/>
      <c r="M269" s="25"/>
      <c r="N269" s="25"/>
      <c r="O269" s="25"/>
      <c r="P269" s="25"/>
      <c r="Q269" s="25"/>
      <c r="R269" s="25"/>
      <c r="S269" s="25"/>
      <c r="T269" s="25"/>
      <c r="U269" s="25"/>
      <c r="V269" s="25"/>
      <c r="W269" s="17" t="s">
        <v>715</v>
      </c>
      <c r="X269" s="17"/>
      <c r="Y269" s="25"/>
      <c r="Z269" s="25"/>
      <c r="AA269" s="25"/>
      <c r="AB269" s="25"/>
      <c r="AC269" s="25"/>
    </row>
    <row r="270" spans="1:29" x14ac:dyDescent="0.3">
      <c r="A270" s="25"/>
      <c r="B270" s="25"/>
      <c r="C270" s="25"/>
      <c r="D270" s="25"/>
      <c r="E270" s="25"/>
      <c r="F270" s="25"/>
      <c r="G270" s="25"/>
      <c r="H270" s="25"/>
      <c r="I270" s="25"/>
      <c r="J270" s="25"/>
      <c r="K270" s="25"/>
      <c r="L270" s="25"/>
      <c r="M270" s="25"/>
      <c r="N270" s="25"/>
      <c r="O270" s="25"/>
      <c r="P270" s="25"/>
      <c r="Q270" s="25"/>
      <c r="R270" s="25"/>
      <c r="S270" s="25"/>
      <c r="T270" s="25"/>
      <c r="U270" s="25"/>
      <c r="V270" s="25"/>
      <c r="W270" s="17" t="s">
        <v>716</v>
      </c>
      <c r="X270" s="17"/>
      <c r="Y270" s="25"/>
      <c r="Z270" s="25"/>
      <c r="AA270" s="25"/>
      <c r="AB270" s="25"/>
      <c r="AC270" s="25"/>
    </row>
    <row r="271" spans="1:29" x14ac:dyDescent="0.3">
      <c r="A271" s="25"/>
      <c r="B271" s="25"/>
      <c r="C271" s="25"/>
      <c r="D271" s="25"/>
      <c r="E271" s="25"/>
      <c r="F271" s="25"/>
      <c r="G271" s="25"/>
      <c r="H271" s="25"/>
      <c r="I271" s="25"/>
      <c r="J271" s="25"/>
      <c r="K271" s="25"/>
      <c r="L271" s="25"/>
      <c r="M271" s="25"/>
      <c r="N271" s="25"/>
      <c r="O271" s="25"/>
      <c r="P271" s="25"/>
      <c r="Q271" s="25"/>
      <c r="R271" s="25"/>
      <c r="S271" s="25"/>
      <c r="T271" s="25"/>
      <c r="U271" s="25"/>
      <c r="V271" s="25"/>
      <c r="W271" s="17" t="s">
        <v>717</v>
      </c>
      <c r="X271" s="17"/>
      <c r="Y271" s="25"/>
      <c r="Z271" s="25"/>
      <c r="AA271" s="25"/>
      <c r="AB271" s="25"/>
      <c r="AC271" s="25"/>
    </row>
    <row r="272" spans="1:29" x14ac:dyDescent="0.3">
      <c r="A272" s="25"/>
      <c r="B272" s="25"/>
      <c r="C272" s="25"/>
      <c r="D272" s="25"/>
      <c r="E272" s="25"/>
      <c r="F272" s="25"/>
      <c r="G272" s="25"/>
      <c r="H272" s="25"/>
      <c r="I272" s="25"/>
      <c r="J272" s="25"/>
      <c r="K272" s="25"/>
      <c r="L272" s="25"/>
      <c r="M272" s="25"/>
      <c r="N272" s="25"/>
      <c r="O272" s="25"/>
      <c r="P272" s="25"/>
      <c r="Q272" s="25"/>
      <c r="R272" s="25"/>
      <c r="S272" s="25"/>
      <c r="T272" s="25"/>
      <c r="U272" s="25"/>
      <c r="V272" s="25"/>
      <c r="W272" s="17" t="s">
        <v>718</v>
      </c>
      <c r="X272" s="17"/>
      <c r="Y272" s="25"/>
      <c r="Z272" s="25"/>
      <c r="AA272" s="25"/>
      <c r="AB272" s="25"/>
      <c r="AC272" s="25"/>
    </row>
    <row r="273" spans="1:29" x14ac:dyDescent="0.3">
      <c r="A273" s="25"/>
      <c r="B273" s="25"/>
      <c r="C273" s="25"/>
      <c r="D273" s="25"/>
      <c r="E273" s="25"/>
      <c r="F273" s="25"/>
      <c r="G273" s="25"/>
      <c r="H273" s="25"/>
      <c r="I273" s="25"/>
      <c r="J273" s="25"/>
      <c r="K273" s="25"/>
      <c r="L273" s="25"/>
      <c r="M273" s="25"/>
      <c r="N273" s="25"/>
      <c r="O273" s="25"/>
      <c r="P273" s="25"/>
      <c r="Q273" s="25"/>
      <c r="R273" s="25"/>
      <c r="S273" s="25"/>
      <c r="T273" s="25"/>
      <c r="U273" s="25"/>
      <c r="V273" s="25"/>
      <c r="W273" s="17" t="s">
        <v>719</v>
      </c>
      <c r="X273" s="17"/>
      <c r="Y273" s="25"/>
      <c r="Z273" s="25"/>
      <c r="AA273" s="25"/>
      <c r="AB273" s="25"/>
      <c r="AC273" s="25"/>
    </row>
    <row r="274" spans="1:29" x14ac:dyDescent="0.3">
      <c r="A274" s="25"/>
      <c r="B274" s="25"/>
      <c r="C274" s="25"/>
      <c r="D274" s="25"/>
      <c r="E274" s="25"/>
      <c r="F274" s="25"/>
      <c r="G274" s="25"/>
      <c r="H274" s="25"/>
      <c r="I274" s="25"/>
      <c r="J274" s="25"/>
      <c r="K274" s="25"/>
      <c r="L274" s="25"/>
      <c r="M274" s="25"/>
      <c r="N274" s="25"/>
      <c r="O274" s="25"/>
      <c r="P274" s="25"/>
      <c r="Q274" s="25"/>
      <c r="R274" s="25"/>
      <c r="S274" s="25"/>
      <c r="T274" s="25"/>
      <c r="U274" s="25"/>
      <c r="V274" s="25"/>
      <c r="W274" s="17" t="s">
        <v>720</v>
      </c>
      <c r="X274" s="17"/>
      <c r="Y274" s="25"/>
      <c r="Z274" s="25"/>
      <c r="AA274" s="25"/>
      <c r="AB274" s="25"/>
      <c r="AC274" s="25"/>
    </row>
    <row r="275" spans="1:29" x14ac:dyDescent="0.3">
      <c r="A275" s="25"/>
      <c r="B275" s="25"/>
      <c r="C275" s="25"/>
      <c r="D275" s="25"/>
      <c r="E275" s="25"/>
      <c r="F275" s="25"/>
      <c r="G275" s="25"/>
      <c r="H275" s="25"/>
      <c r="I275" s="25"/>
      <c r="J275" s="25"/>
      <c r="K275" s="25"/>
      <c r="L275" s="25"/>
      <c r="M275" s="25"/>
      <c r="N275" s="25"/>
      <c r="O275" s="25"/>
      <c r="P275" s="25"/>
      <c r="Q275" s="25"/>
      <c r="R275" s="25"/>
      <c r="S275" s="25"/>
      <c r="T275" s="25"/>
      <c r="U275" s="25"/>
      <c r="V275" s="25"/>
      <c r="W275" s="17" t="s">
        <v>721</v>
      </c>
      <c r="X275" s="17"/>
      <c r="Y275" s="25"/>
      <c r="Z275" s="25"/>
      <c r="AA275" s="25"/>
      <c r="AB275" s="25"/>
      <c r="AC275" s="25"/>
    </row>
    <row r="276" spans="1:29" x14ac:dyDescent="0.3">
      <c r="A276" s="25"/>
      <c r="B276" s="25"/>
      <c r="C276" s="25"/>
      <c r="D276" s="25"/>
      <c r="E276" s="25"/>
      <c r="F276" s="25"/>
      <c r="G276" s="25"/>
      <c r="H276" s="25"/>
      <c r="I276" s="25"/>
      <c r="J276" s="25"/>
      <c r="K276" s="25"/>
      <c r="L276" s="25"/>
      <c r="M276" s="25"/>
      <c r="N276" s="25"/>
      <c r="O276" s="25"/>
      <c r="P276" s="25"/>
      <c r="Q276" s="25"/>
      <c r="R276" s="25"/>
      <c r="S276" s="25"/>
      <c r="T276" s="25"/>
      <c r="U276" s="25"/>
      <c r="V276" s="25"/>
      <c r="W276" s="17" t="s">
        <v>722</v>
      </c>
      <c r="X276" s="17"/>
      <c r="Y276" s="25"/>
      <c r="Z276" s="25"/>
      <c r="AA276" s="25"/>
      <c r="AB276" s="25"/>
      <c r="AC276" s="25"/>
    </row>
    <row r="277" spans="1:29" x14ac:dyDescent="0.3">
      <c r="A277" s="25"/>
      <c r="B277" s="25"/>
      <c r="C277" s="25"/>
      <c r="D277" s="25"/>
      <c r="E277" s="25"/>
      <c r="F277" s="25"/>
      <c r="G277" s="25"/>
      <c r="H277" s="25"/>
      <c r="I277" s="25"/>
      <c r="J277" s="25"/>
      <c r="K277" s="25"/>
      <c r="L277" s="25"/>
      <c r="M277" s="25"/>
      <c r="N277" s="25"/>
      <c r="O277" s="25"/>
      <c r="P277" s="25"/>
      <c r="Q277" s="25"/>
      <c r="R277" s="25"/>
      <c r="S277" s="25"/>
      <c r="T277" s="25"/>
      <c r="U277" s="25"/>
      <c r="V277" s="25"/>
      <c r="W277" s="17" t="s">
        <v>723</v>
      </c>
      <c r="X277" s="17"/>
      <c r="Y277" s="25"/>
      <c r="Z277" s="25"/>
      <c r="AA277" s="25"/>
      <c r="AB277" s="25"/>
      <c r="AC277" s="25"/>
    </row>
    <row r="278" spans="1:29" x14ac:dyDescent="0.3">
      <c r="A278" s="25"/>
      <c r="B278" s="25"/>
      <c r="C278" s="25"/>
      <c r="D278" s="25"/>
      <c r="E278" s="25"/>
      <c r="F278" s="25"/>
      <c r="G278" s="25"/>
      <c r="H278" s="25"/>
      <c r="I278" s="25"/>
      <c r="J278" s="25"/>
      <c r="K278" s="25"/>
      <c r="L278" s="25"/>
      <c r="M278" s="25"/>
      <c r="N278" s="25"/>
      <c r="O278" s="25"/>
      <c r="P278" s="25"/>
      <c r="Q278" s="25"/>
      <c r="R278" s="25"/>
      <c r="S278" s="25"/>
      <c r="T278" s="25"/>
      <c r="U278" s="25"/>
      <c r="V278" s="25"/>
      <c r="W278" s="17" t="s">
        <v>724</v>
      </c>
      <c r="X278" s="17"/>
      <c r="Y278" s="25"/>
      <c r="Z278" s="25"/>
      <c r="AA278" s="25"/>
      <c r="AB278" s="25"/>
      <c r="AC278" s="25"/>
    </row>
    <row r="279" spans="1:29" x14ac:dyDescent="0.3">
      <c r="A279" s="25"/>
      <c r="B279" s="25"/>
      <c r="C279" s="25"/>
      <c r="D279" s="25"/>
      <c r="E279" s="25"/>
      <c r="F279" s="25"/>
      <c r="G279" s="25"/>
      <c r="H279" s="25"/>
      <c r="I279" s="25"/>
      <c r="J279" s="25"/>
      <c r="K279" s="25"/>
      <c r="L279" s="25"/>
      <c r="M279" s="25"/>
      <c r="N279" s="25"/>
      <c r="O279" s="25"/>
      <c r="P279" s="25"/>
      <c r="Q279" s="25"/>
      <c r="R279" s="25"/>
      <c r="S279" s="25"/>
      <c r="T279" s="25"/>
      <c r="U279" s="25"/>
      <c r="V279" s="25"/>
      <c r="W279" s="17" t="s">
        <v>725</v>
      </c>
      <c r="X279" s="17"/>
      <c r="Y279" s="25"/>
      <c r="Z279" s="25"/>
      <c r="AA279" s="25"/>
      <c r="AB279" s="25"/>
      <c r="AC279" s="25"/>
    </row>
    <row r="280" spans="1:29" x14ac:dyDescent="0.3">
      <c r="A280" s="25"/>
      <c r="B280" s="25"/>
      <c r="C280" s="25"/>
      <c r="D280" s="25"/>
      <c r="E280" s="25"/>
      <c r="F280" s="25"/>
      <c r="G280" s="25"/>
      <c r="H280" s="25"/>
      <c r="I280" s="25"/>
      <c r="J280" s="25"/>
      <c r="K280" s="25"/>
      <c r="L280" s="25"/>
      <c r="M280" s="25"/>
      <c r="N280" s="25"/>
      <c r="O280" s="25"/>
      <c r="P280" s="25"/>
      <c r="Q280" s="25"/>
      <c r="R280" s="25"/>
      <c r="S280" s="25"/>
      <c r="T280" s="25"/>
      <c r="U280" s="25"/>
      <c r="V280" s="25"/>
      <c r="W280" s="17" t="s">
        <v>726</v>
      </c>
      <c r="X280" s="17"/>
      <c r="Y280" s="25"/>
      <c r="Z280" s="25"/>
      <c r="AA280" s="25"/>
      <c r="AB280" s="25"/>
      <c r="AC280" s="25"/>
    </row>
    <row r="281" spans="1:29" x14ac:dyDescent="0.3">
      <c r="A281" s="25"/>
      <c r="B281" s="25"/>
      <c r="C281" s="25"/>
      <c r="D281" s="25"/>
      <c r="E281" s="25"/>
      <c r="F281" s="25"/>
      <c r="G281" s="25"/>
      <c r="H281" s="25"/>
      <c r="I281" s="25"/>
      <c r="J281" s="25"/>
      <c r="K281" s="25"/>
      <c r="L281" s="25"/>
      <c r="M281" s="25"/>
      <c r="N281" s="25"/>
      <c r="O281" s="25"/>
      <c r="P281" s="25"/>
      <c r="Q281" s="25"/>
      <c r="R281" s="25"/>
      <c r="S281" s="25"/>
      <c r="T281" s="25"/>
      <c r="U281" s="25"/>
      <c r="V281" s="25"/>
      <c r="W281" s="17" t="s">
        <v>727</v>
      </c>
      <c r="X281" s="17"/>
      <c r="Y281" s="25"/>
      <c r="Z281" s="25"/>
      <c r="AA281" s="25"/>
      <c r="AB281" s="25"/>
      <c r="AC281" s="25"/>
    </row>
    <row r="282" spans="1:29" x14ac:dyDescent="0.3">
      <c r="A282" s="25"/>
      <c r="B282" s="25"/>
      <c r="C282" s="25"/>
      <c r="D282" s="25"/>
      <c r="E282" s="25"/>
      <c r="F282" s="25"/>
      <c r="G282" s="25"/>
      <c r="H282" s="25"/>
      <c r="I282" s="25"/>
      <c r="J282" s="25"/>
      <c r="K282" s="25"/>
      <c r="L282" s="25"/>
      <c r="M282" s="25"/>
      <c r="N282" s="25"/>
      <c r="O282" s="25"/>
      <c r="P282" s="25"/>
      <c r="Q282" s="25"/>
      <c r="R282" s="25"/>
      <c r="S282" s="25"/>
      <c r="T282" s="25"/>
      <c r="U282" s="25"/>
      <c r="V282" s="25"/>
      <c r="W282" s="17" t="s">
        <v>728</v>
      </c>
      <c r="X282" s="17"/>
      <c r="Y282" s="25"/>
      <c r="Z282" s="25"/>
      <c r="AA282" s="25"/>
      <c r="AB282" s="25"/>
      <c r="AC282" s="25"/>
    </row>
    <row r="283" spans="1:29" x14ac:dyDescent="0.3">
      <c r="A283" s="25"/>
      <c r="B283" s="25"/>
      <c r="C283" s="25"/>
      <c r="D283" s="25"/>
      <c r="E283" s="25"/>
      <c r="F283" s="25"/>
      <c r="G283" s="25"/>
      <c r="H283" s="25"/>
      <c r="I283" s="25"/>
      <c r="J283" s="25"/>
      <c r="K283" s="25"/>
      <c r="L283" s="25"/>
      <c r="M283" s="25"/>
      <c r="N283" s="25"/>
      <c r="O283" s="25"/>
      <c r="P283" s="25"/>
      <c r="Q283" s="25"/>
      <c r="R283" s="25"/>
      <c r="S283" s="25"/>
      <c r="T283" s="25"/>
      <c r="U283" s="25"/>
      <c r="V283" s="25"/>
      <c r="W283" s="17" t="s">
        <v>729</v>
      </c>
      <c r="X283" s="17"/>
      <c r="Y283" s="25"/>
      <c r="Z283" s="25"/>
      <c r="AA283" s="25"/>
      <c r="AB283" s="25"/>
      <c r="AC283" s="25"/>
    </row>
    <row r="284" spans="1:29" x14ac:dyDescent="0.3">
      <c r="A284" s="25"/>
      <c r="B284" s="25"/>
      <c r="C284" s="25"/>
      <c r="D284" s="25"/>
      <c r="E284" s="25"/>
      <c r="F284" s="25"/>
      <c r="G284" s="25"/>
      <c r="H284" s="25"/>
      <c r="I284" s="25"/>
      <c r="J284" s="25"/>
      <c r="K284" s="25"/>
      <c r="L284" s="25"/>
      <c r="M284" s="25"/>
      <c r="N284" s="25"/>
      <c r="O284" s="25"/>
      <c r="P284" s="25"/>
      <c r="Q284" s="25"/>
      <c r="R284" s="25"/>
      <c r="S284" s="25"/>
      <c r="T284" s="25"/>
      <c r="U284" s="25"/>
      <c r="V284" s="25"/>
      <c r="W284" s="17" t="s">
        <v>730</v>
      </c>
      <c r="X284" s="17"/>
      <c r="Y284" s="25"/>
      <c r="Z284" s="25"/>
      <c r="AA284" s="25"/>
      <c r="AB284" s="25"/>
      <c r="AC284" s="25"/>
    </row>
    <row r="285" spans="1:29" x14ac:dyDescent="0.3">
      <c r="A285" s="25"/>
      <c r="B285" s="25"/>
      <c r="C285" s="25"/>
      <c r="D285" s="25"/>
      <c r="E285" s="25"/>
      <c r="F285" s="25"/>
      <c r="G285" s="25"/>
      <c r="H285" s="25"/>
      <c r="I285" s="25"/>
      <c r="J285" s="25"/>
      <c r="K285" s="25"/>
      <c r="L285" s="25"/>
      <c r="M285" s="25"/>
      <c r="N285" s="25"/>
      <c r="O285" s="25"/>
      <c r="P285" s="25"/>
      <c r="Q285" s="25"/>
      <c r="R285" s="25"/>
      <c r="S285" s="25"/>
      <c r="T285" s="25"/>
      <c r="U285" s="25"/>
      <c r="V285" s="25"/>
      <c r="W285" s="17" t="s">
        <v>731</v>
      </c>
      <c r="X285" s="17"/>
      <c r="Y285" s="25"/>
      <c r="Z285" s="25"/>
      <c r="AA285" s="25"/>
      <c r="AB285" s="25"/>
      <c r="AC285" s="25"/>
    </row>
    <row r="286" spans="1:29" x14ac:dyDescent="0.3">
      <c r="A286" s="25"/>
      <c r="B286" s="25"/>
      <c r="C286" s="25"/>
      <c r="D286" s="25"/>
      <c r="E286" s="25"/>
      <c r="F286" s="25"/>
      <c r="G286" s="25"/>
      <c r="H286" s="25"/>
      <c r="I286" s="25"/>
      <c r="J286" s="25"/>
      <c r="K286" s="25"/>
      <c r="L286" s="25"/>
      <c r="M286" s="25"/>
      <c r="N286" s="25"/>
      <c r="O286" s="25"/>
      <c r="P286" s="25"/>
      <c r="Q286" s="25"/>
      <c r="R286" s="25"/>
      <c r="S286" s="25"/>
      <c r="T286" s="25"/>
      <c r="U286" s="25"/>
      <c r="V286" s="25"/>
      <c r="W286" s="17" t="s">
        <v>732</v>
      </c>
      <c r="X286" s="17"/>
      <c r="Y286" s="25"/>
      <c r="Z286" s="25"/>
      <c r="AA286" s="25"/>
      <c r="AB286" s="25"/>
      <c r="AC286" s="25"/>
    </row>
    <row r="287" spans="1:29" x14ac:dyDescent="0.3">
      <c r="A287" s="25"/>
      <c r="B287" s="25"/>
      <c r="C287" s="25"/>
      <c r="D287" s="25"/>
      <c r="E287" s="25"/>
      <c r="F287" s="25"/>
      <c r="G287" s="25"/>
      <c r="H287" s="25"/>
      <c r="I287" s="25"/>
      <c r="J287" s="25"/>
      <c r="K287" s="25"/>
      <c r="L287" s="25"/>
      <c r="M287" s="25"/>
      <c r="N287" s="25"/>
      <c r="O287" s="25"/>
      <c r="P287" s="25"/>
      <c r="Q287" s="25"/>
      <c r="R287" s="25"/>
      <c r="S287" s="25"/>
      <c r="T287" s="25"/>
      <c r="U287" s="25"/>
      <c r="V287" s="25"/>
      <c r="W287" s="17" t="s">
        <v>733</v>
      </c>
      <c r="X287" s="17"/>
      <c r="Y287" s="25"/>
      <c r="Z287" s="25"/>
      <c r="AA287" s="25"/>
      <c r="AB287" s="25"/>
      <c r="AC287" s="25"/>
    </row>
    <row r="288" spans="1:29" x14ac:dyDescent="0.3">
      <c r="A288" s="25"/>
      <c r="B288" s="25"/>
      <c r="C288" s="25"/>
      <c r="D288" s="25"/>
      <c r="E288" s="25"/>
      <c r="F288" s="25"/>
      <c r="G288" s="25"/>
      <c r="H288" s="25"/>
      <c r="I288" s="25"/>
      <c r="J288" s="25"/>
      <c r="K288" s="25"/>
      <c r="L288" s="25"/>
      <c r="M288" s="25"/>
      <c r="N288" s="25"/>
      <c r="O288" s="25"/>
      <c r="P288" s="25"/>
      <c r="Q288" s="25"/>
      <c r="R288" s="25"/>
      <c r="S288" s="25"/>
      <c r="T288" s="25"/>
      <c r="U288" s="25"/>
      <c r="V288" s="25"/>
      <c r="W288" s="17" t="s">
        <v>734</v>
      </c>
      <c r="X288" s="17"/>
      <c r="Y288" s="25"/>
      <c r="Z288" s="25"/>
      <c r="AA288" s="25"/>
      <c r="AB288" s="25"/>
      <c r="AC288" s="25"/>
    </row>
    <row r="289" spans="1:29" x14ac:dyDescent="0.3">
      <c r="A289" s="25"/>
      <c r="B289" s="25"/>
      <c r="C289" s="25"/>
      <c r="D289" s="25"/>
      <c r="E289" s="25"/>
      <c r="F289" s="25"/>
      <c r="G289" s="25"/>
      <c r="H289" s="25"/>
      <c r="I289" s="25"/>
      <c r="J289" s="25"/>
      <c r="K289" s="25"/>
      <c r="L289" s="25"/>
      <c r="M289" s="25"/>
      <c r="N289" s="25"/>
      <c r="O289" s="25"/>
      <c r="P289" s="25"/>
      <c r="Q289" s="25"/>
      <c r="R289" s="25"/>
      <c r="S289" s="25"/>
      <c r="T289" s="25"/>
      <c r="U289" s="25"/>
      <c r="V289" s="25"/>
      <c r="W289" s="17" t="s">
        <v>735</v>
      </c>
      <c r="X289" s="17"/>
      <c r="Y289" s="25"/>
      <c r="Z289" s="25"/>
      <c r="AA289" s="25"/>
      <c r="AB289" s="25"/>
      <c r="AC289" s="25"/>
    </row>
    <row r="290" spans="1:29" x14ac:dyDescent="0.3">
      <c r="A290" s="25"/>
      <c r="B290" s="25"/>
      <c r="C290" s="25"/>
      <c r="D290" s="25"/>
      <c r="E290" s="25"/>
      <c r="F290" s="25"/>
      <c r="G290" s="25"/>
      <c r="H290" s="25"/>
      <c r="I290" s="25"/>
      <c r="J290" s="25"/>
      <c r="K290" s="25"/>
      <c r="L290" s="25"/>
      <c r="M290" s="25"/>
      <c r="N290" s="25"/>
      <c r="O290" s="25"/>
      <c r="P290" s="25"/>
      <c r="Q290" s="25"/>
      <c r="R290" s="25"/>
      <c r="S290" s="25"/>
      <c r="T290" s="25"/>
      <c r="U290" s="25"/>
      <c r="V290" s="25"/>
      <c r="W290" s="17" t="s">
        <v>736</v>
      </c>
      <c r="X290" s="17"/>
      <c r="Y290" s="25"/>
      <c r="Z290" s="25"/>
      <c r="AA290" s="25"/>
      <c r="AB290" s="25"/>
      <c r="AC290" s="25"/>
    </row>
    <row r="291" spans="1:29" x14ac:dyDescent="0.3">
      <c r="A291" s="25"/>
      <c r="B291" s="25"/>
      <c r="C291" s="25"/>
      <c r="D291" s="25"/>
      <c r="E291" s="25"/>
      <c r="F291" s="25"/>
      <c r="G291" s="25"/>
      <c r="H291" s="25"/>
      <c r="I291" s="25"/>
      <c r="J291" s="25"/>
      <c r="K291" s="25"/>
      <c r="L291" s="25"/>
      <c r="M291" s="25"/>
      <c r="N291" s="25"/>
      <c r="O291" s="25"/>
      <c r="P291" s="25"/>
      <c r="Q291" s="25"/>
      <c r="R291" s="25"/>
      <c r="S291" s="25"/>
      <c r="T291" s="25"/>
      <c r="U291" s="25"/>
      <c r="V291" s="25"/>
      <c r="W291" s="17" t="s">
        <v>737</v>
      </c>
      <c r="X291" s="17"/>
      <c r="Y291" s="25"/>
      <c r="Z291" s="25"/>
      <c r="AA291" s="25"/>
      <c r="AB291" s="25"/>
      <c r="AC291" s="25"/>
    </row>
    <row r="292" spans="1:29" x14ac:dyDescent="0.3">
      <c r="A292" s="25"/>
      <c r="B292" s="25"/>
      <c r="C292" s="25"/>
      <c r="D292" s="25"/>
      <c r="E292" s="25"/>
      <c r="F292" s="25"/>
      <c r="G292" s="25"/>
      <c r="H292" s="25"/>
      <c r="I292" s="25"/>
      <c r="J292" s="25"/>
      <c r="K292" s="25"/>
      <c r="L292" s="25"/>
      <c r="M292" s="25"/>
      <c r="N292" s="25"/>
      <c r="O292" s="25"/>
      <c r="P292" s="25"/>
      <c r="Q292" s="25"/>
      <c r="R292" s="25"/>
      <c r="S292" s="25"/>
      <c r="T292" s="25"/>
      <c r="U292" s="25"/>
      <c r="V292" s="25"/>
      <c r="W292" s="17" t="s">
        <v>738</v>
      </c>
      <c r="X292" s="17"/>
      <c r="Y292" s="25"/>
      <c r="Z292" s="25"/>
      <c r="AA292" s="25"/>
      <c r="AB292" s="25"/>
      <c r="AC292" s="25"/>
    </row>
    <row r="293" spans="1:29" x14ac:dyDescent="0.3">
      <c r="A293" s="25"/>
      <c r="B293" s="25"/>
      <c r="C293" s="25"/>
      <c r="D293" s="25"/>
      <c r="E293" s="25"/>
      <c r="F293" s="25"/>
      <c r="G293" s="25"/>
      <c r="H293" s="25"/>
      <c r="I293" s="25"/>
      <c r="J293" s="25"/>
      <c r="K293" s="25"/>
      <c r="L293" s="25"/>
      <c r="M293" s="25"/>
      <c r="N293" s="25"/>
      <c r="O293" s="25"/>
      <c r="P293" s="25"/>
      <c r="Q293" s="25"/>
      <c r="R293" s="25"/>
      <c r="S293" s="25"/>
      <c r="T293" s="25"/>
      <c r="U293" s="25"/>
      <c r="V293" s="25"/>
      <c r="W293" s="17" t="s">
        <v>739</v>
      </c>
      <c r="X293" s="17"/>
      <c r="Y293" s="25"/>
      <c r="Z293" s="25"/>
      <c r="AA293" s="25"/>
      <c r="AB293" s="25"/>
      <c r="AC293" s="25"/>
    </row>
    <row r="294" spans="1:29" x14ac:dyDescent="0.3">
      <c r="A294" s="25"/>
      <c r="B294" s="25"/>
      <c r="C294" s="25"/>
      <c r="D294" s="25"/>
      <c r="E294" s="25"/>
      <c r="F294" s="25"/>
      <c r="G294" s="25"/>
      <c r="H294" s="25"/>
      <c r="I294" s="25"/>
      <c r="J294" s="25"/>
      <c r="K294" s="25"/>
      <c r="L294" s="25"/>
      <c r="M294" s="25"/>
      <c r="N294" s="25"/>
      <c r="O294" s="25"/>
      <c r="P294" s="25"/>
      <c r="Q294" s="25"/>
      <c r="R294" s="25"/>
      <c r="S294" s="25"/>
      <c r="T294" s="25"/>
      <c r="U294" s="25"/>
      <c r="V294" s="25"/>
      <c r="W294" s="17" t="s">
        <v>740</v>
      </c>
      <c r="X294" s="17"/>
      <c r="Y294" s="25"/>
      <c r="Z294" s="25"/>
      <c r="AA294" s="25"/>
      <c r="AB294" s="25"/>
      <c r="AC294" s="25"/>
    </row>
    <row r="295" spans="1:29" x14ac:dyDescent="0.3">
      <c r="A295" s="25"/>
      <c r="B295" s="25"/>
      <c r="C295" s="25"/>
      <c r="D295" s="25"/>
      <c r="E295" s="25"/>
      <c r="F295" s="25"/>
      <c r="G295" s="25"/>
      <c r="H295" s="25"/>
      <c r="I295" s="25"/>
      <c r="J295" s="25"/>
      <c r="K295" s="25"/>
      <c r="L295" s="25"/>
      <c r="M295" s="25"/>
      <c r="N295" s="25"/>
      <c r="O295" s="25"/>
      <c r="P295" s="25"/>
      <c r="Q295" s="25"/>
      <c r="R295" s="25"/>
      <c r="S295" s="25"/>
      <c r="T295" s="25"/>
      <c r="U295" s="25"/>
      <c r="V295" s="25"/>
      <c r="W295" s="17" t="s">
        <v>741</v>
      </c>
      <c r="X295" s="17"/>
      <c r="Y295" s="25"/>
      <c r="Z295" s="25"/>
      <c r="AA295" s="25"/>
      <c r="AB295" s="25"/>
      <c r="AC295" s="25"/>
    </row>
    <row r="296" spans="1:29" x14ac:dyDescent="0.3">
      <c r="A296" s="25"/>
      <c r="B296" s="25"/>
      <c r="C296" s="25"/>
      <c r="D296" s="25"/>
      <c r="E296" s="25"/>
      <c r="F296" s="25"/>
      <c r="G296" s="25"/>
      <c r="H296" s="25"/>
      <c r="I296" s="25"/>
      <c r="J296" s="25"/>
      <c r="K296" s="25"/>
      <c r="L296" s="25"/>
      <c r="M296" s="25"/>
      <c r="N296" s="25"/>
      <c r="O296" s="25"/>
      <c r="P296" s="25"/>
      <c r="Q296" s="25"/>
      <c r="R296" s="25"/>
      <c r="S296" s="25"/>
      <c r="T296" s="25"/>
      <c r="U296" s="25"/>
      <c r="V296" s="25"/>
      <c r="W296" s="17" t="s">
        <v>742</v>
      </c>
      <c r="X296" s="17"/>
      <c r="Y296" s="25"/>
      <c r="Z296" s="25"/>
      <c r="AA296" s="25"/>
      <c r="AB296" s="25"/>
      <c r="AC296" s="25"/>
    </row>
    <row r="297" spans="1:29" x14ac:dyDescent="0.3">
      <c r="A297" s="25"/>
      <c r="B297" s="25"/>
      <c r="C297" s="25"/>
      <c r="D297" s="25"/>
      <c r="E297" s="25"/>
      <c r="F297" s="25"/>
      <c r="G297" s="25"/>
      <c r="H297" s="25"/>
      <c r="I297" s="25"/>
      <c r="J297" s="25"/>
      <c r="K297" s="25"/>
      <c r="L297" s="25"/>
      <c r="M297" s="25"/>
      <c r="N297" s="25"/>
      <c r="O297" s="25"/>
      <c r="P297" s="25"/>
      <c r="Q297" s="25"/>
      <c r="R297" s="25"/>
      <c r="S297" s="25"/>
      <c r="T297" s="25"/>
      <c r="U297" s="25"/>
      <c r="V297" s="25"/>
      <c r="W297" s="17" t="s">
        <v>743</v>
      </c>
      <c r="X297" s="17"/>
      <c r="Y297" s="25"/>
      <c r="Z297" s="25"/>
      <c r="AA297" s="25"/>
      <c r="AB297" s="25"/>
      <c r="AC297" s="25"/>
    </row>
    <row r="298" spans="1:29" x14ac:dyDescent="0.3">
      <c r="A298" s="25"/>
      <c r="B298" s="25"/>
      <c r="C298" s="25"/>
      <c r="D298" s="25"/>
      <c r="E298" s="25"/>
      <c r="F298" s="25"/>
      <c r="G298" s="25"/>
      <c r="H298" s="25"/>
      <c r="I298" s="25"/>
      <c r="J298" s="25"/>
      <c r="K298" s="25"/>
      <c r="L298" s="25"/>
      <c r="M298" s="25"/>
      <c r="N298" s="25"/>
      <c r="O298" s="25"/>
      <c r="P298" s="25"/>
      <c r="Q298" s="25"/>
      <c r="R298" s="25"/>
      <c r="S298" s="25"/>
      <c r="T298" s="25"/>
      <c r="U298" s="25"/>
      <c r="V298" s="25"/>
      <c r="W298" s="17" t="s">
        <v>744</v>
      </c>
      <c r="X298" s="17"/>
      <c r="Y298" s="25"/>
      <c r="Z298" s="25"/>
      <c r="AA298" s="25"/>
      <c r="AB298" s="25"/>
      <c r="AC298" s="25"/>
    </row>
    <row r="299" spans="1:29" x14ac:dyDescent="0.3">
      <c r="A299" s="25"/>
      <c r="B299" s="25"/>
      <c r="C299" s="25"/>
      <c r="D299" s="25"/>
      <c r="E299" s="25"/>
      <c r="F299" s="25"/>
      <c r="G299" s="25"/>
      <c r="H299" s="25"/>
      <c r="I299" s="25"/>
      <c r="J299" s="25"/>
      <c r="K299" s="25"/>
      <c r="L299" s="25"/>
      <c r="M299" s="25"/>
      <c r="N299" s="25"/>
      <c r="O299" s="25"/>
      <c r="P299" s="25"/>
      <c r="Q299" s="25"/>
      <c r="R299" s="25"/>
      <c r="S299" s="25"/>
      <c r="T299" s="25"/>
      <c r="U299" s="25"/>
      <c r="V299" s="25"/>
      <c r="W299" s="17" t="s">
        <v>745</v>
      </c>
      <c r="X299" s="17"/>
      <c r="Y299" s="25"/>
      <c r="Z299" s="25"/>
      <c r="AA299" s="25"/>
      <c r="AB299" s="25"/>
      <c r="AC299" s="25"/>
    </row>
    <row r="300" spans="1:29" x14ac:dyDescent="0.3">
      <c r="A300" s="25"/>
      <c r="B300" s="25"/>
      <c r="C300" s="25"/>
      <c r="D300" s="25"/>
      <c r="E300" s="25"/>
      <c r="F300" s="25"/>
      <c r="G300" s="25"/>
      <c r="H300" s="25"/>
      <c r="I300" s="25"/>
      <c r="J300" s="25"/>
      <c r="K300" s="25"/>
      <c r="L300" s="25"/>
      <c r="M300" s="25"/>
      <c r="N300" s="25"/>
      <c r="O300" s="25"/>
      <c r="P300" s="25"/>
      <c r="Q300" s="25"/>
      <c r="R300" s="25"/>
      <c r="S300" s="25"/>
      <c r="T300" s="25"/>
      <c r="U300" s="25"/>
      <c r="V300" s="25"/>
      <c r="W300" s="17" t="s">
        <v>746</v>
      </c>
      <c r="X300" s="17"/>
      <c r="Y300" s="25"/>
      <c r="Z300" s="25"/>
      <c r="AA300" s="25"/>
      <c r="AB300" s="25"/>
      <c r="AC300" s="25"/>
    </row>
    <row r="301" spans="1:29" x14ac:dyDescent="0.3">
      <c r="A301" s="25"/>
      <c r="B301" s="25"/>
      <c r="C301" s="25"/>
      <c r="D301" s="25"/>
      <c r="E301" s="25"/>
      <c r="F301" s="25"/>
      <c r="G301" s="25"/>
      <c r="H301" s="25"/>
      <c r="I301" s="25"/>
      <c r="J301" s="25"/>
      <c r="K301" s="25"/>
      <c r="L301" s="25"/>
      <c r="M301" s="25"/>
      <c r="N301" s="25"/>
      <c r="O301" s="25"/>
      <c r="P301" s="25"/>
      <c r="Q301" s="25"/>
      <c r="R301" s="25"/>
      <c r="S301" s="25"/>
      <c r="T301" s="25"/>
      <c r="U301" s="25"/>
      <c r="V301" s="25"/>
      <c r="W301" s="17" t="s">
        <v>747</v>
      </c>
      <c r="X301" s="17"/>
      <c r="Y301" s="25"/>
      <c r="Z301" s="25"/>
      <c r="AA301" s="25"/>
      <c r="AB301" s="25"/>
      <c r="AC301" s="25"/>
    </row>
    <row r="302" spans="1:29" x14ac:dyDescent="0.3">
      <c r="A302" s="25"/>
      <c r="B302" s="25"/>
      <c r="C302" s="25"/>
      <c r="D302" s="25"/>
      <c r="E302" s="25"/>
      <c r="F302" s="25"/>
      <c r="G302" s="25"/>
      <c r="H302" s="25"/>
      <c r="I302" s="25"/>
      <c r="J302" s="25"/>
      <c r="K302" s="25"/>
      <c r="L302" s="25"/>
      <c r="M302" s="25"/>
      <c r="N302" s="25"/>
      <c r="O302" s="25"/>
      <c r="P302" s="25"/>
      <c r="Q302" s="25"/>
      <c r="R302" s="25"/>
      <c r="S302" s="25"/>
      <c r="T302" s="25"/>
      <c r="U302" s="25"/>
      <c r="V302" s="25"/>
      <c r="W302" s="17" t="s">
        <v>748</v>
      </c>
      <c r="X302" s="17"/>
      <c r="Y302" s="25"/>
      <c r="Z302" s="25"/>
      <c r="AA302" s="25"/>
      <c r="AB302" s="25"/>
      <c r="AC302" s="25"/>
    </row>
    <row r="303" spans="1:29" x14ac:dyDescent="0.3">
      <c r="A303" s="25"/>
      <c r="B303" s="25"/>
      <c r="C303" s="25"/>
      <c r="D303" s="25"/>
      <c r="E303" s="25"/>
      <c r="F303" s="25"/>
      <c r="G303" s="25"/>
      <c r="H303" s="25"/>
      <c r="I303" s="25"/>
      <c r="J303" s="25"/>
      <c r="K303" s="25"/>
      <c r="L303" s="25"/>
      <c r="M303" s="25"/>
      <c r="N303" s="25"/>
      <c r="O303" s="25"/>
      <c r="P303" s="25"/>
      <c r="Q303" s="25"/>
      <c r="R303" s="25"/>
      <c r="S303" s="25"/>
      <c r="T303" s="25"/>
      <c r="U303" s="25"/>
      <c r="V303" s="25"/>
      <c r="W303" s="17" t="s">
        <v>749</v>
      </c>
      <c r="X303" s="17"/>
      <c r="Y303" s="25"/>
      <c r="Z303" s="25"/>
      <c r="AA303" s="25"/>
      <c r="AB303" s="25"/>
      <c r="AC303" s="25"/>
    </row>
    <row r="304" spans="1:29" x14ac:dyDescent="0.3">
      <c r="A304" s="25"/>
      <c r="B304" s="25"/>
      <c r="C304" s="25"/>
      <c r="D304" s="25"/>
      <c r="E304" s="25"/>
      <c r="F304" s="25"/>
      <c r="G304" s="25"/>
      <c r="H304" s="25"/>
      <c r="I304" s="25"/>
      <c r="J304" s="25"/>
      <c r="K304" s="25"/>
      <c r="L304" s="25"/>
      <c r="M304" s="25"/>
      <c r="N304" s="25"/>
      <c r="O304" s="25"/>
      <c r="P304" s="25"/>
      <c r="Q304" s="25"/>
      <c r="R304" s="25"/>
      <c r="S304" s="25"/>
      <c r="T304" s="25"/>
      <c r="U304" s="25"/>
      <c r="V304" s="25"/>
      <c r="W304" s="17" t="s">
        <v>750</v>
      </c>
      <c r="X304" s="17"/>
      <c r="Y304" s="25"/>
      <c r="Z304" s="25"/>
      <c r="AA304" s="25"/>
      <c r="AB304" s="25"/>
      <c r="AC304" s="25"/>
    </row>
    <row r="305" spans="1:29" x14ac:dyDescent="0.3">
      <c r="A305" s="25"/>
      <c r="B305" s="25"/>
      <c r="C305" s="25"/>
      <c r="D305" s="25"/>
      <c r="E305" s="25"/>
      <c r="F305" s="25"/>
      <c r="G305" s="25"/>
      <c r="H305" s="25"/>
      <c r="I305" s="25"/>
      <c r="J305" s="25"/>
      <c r="K305" s="25"/>
      <c r="L305" s="25"/>
      <c r="M305" s="25"/>
      <c r="N305" s="25"/>
      <c r="O305" s="25"/>
      <c r="P305" s="25"/>
      <c r="Q305" s="25"/>
      <c r="R305" s="25"/>
      <c r="S305" s="25"/>
      <c r="T305" s="25"/>
      <c r="U305" s="25"/>
      <c r="V305" s="25"/>
      <c r="W305" s="17" t="s">
        <v>751</v>
      </c>
      <c r="X305" s="17"/>
      <c r="Y305" s="25"/>
      <c r="Z305" s="25"/>
      <c r="AA305" s="25"/>
      <c r="AB305" s="25"/>
      <c r="AC305" s="25"/>
    </row>
    <row r="306" spans="1:29" x14ac:dyDescent="0.3">
      <c r="A306" s="25"/>
      <c r="B306" s="25"/>
      <c r="C306" s="25"/>
      <c r="D306" s="25"/>
      <c r="E306" s="25"/>
      <c r="F306" s="25"/>
      <c r="G306" s="25"/>
      <c r="H306" s="25"/>
      <c r="I306" s="25"/>
      <c r="J306" s="25"/>
      <c r="K306" s="25"/>
      <c r="L306" s="25"/>
      <c r="M306" s="25"/>
      <c r="N306" s="25"/>
      <c r="O306" s="25"/>
      <c r="P306" s="25"/>
      <c r="Q306" s="25"/>
      <c r="R306" s="25"/>
      <c r="S306" s="25"/>
      <c r="T306" s="25"/>
      <c r="U306" s="25"/>
      <c r="V306" s="25"/>
      <c r="W306" s="17" t="s">
        <v>752</v>
      </c>
      <c r="X306" s="17"/>
      <c r="Y306" s="25"/>
      <c r="Z306" s="25"/>
      <c r="AA306" s="25"/>
      <c r="AB306" s="25"/>
      <c r="AC306" s="25"/>
    </row>
    <row r="307" spans="1:29" x14ac:dyDescent="0.3">
      <c r="A307" s="25"/>
      <c r="B307" s="25"/>
      <c r="C307" s="25"/>
      <c r="D307" s="25"/>
      <c r="E307" s="25"/>
      <c r="F307" s="25"/>
      <c r="G307" s="25"/>
      <c r="H307" s="25"/>
      <c r="I307" s="25"/>
      <c r="J307" s="25"/>
      <c r="K307" s="25"/>
      <c r="L307" s="25"/>
      <c r="M307" s="25"/>
      <c r="N307" s="25"/>
      <c r="O307" s="25"/>
      <c r="P307" s="25"/>
      <c r="Q307" s="25"/>
      <c r="R307" s="25"/>
      <c r="S307" s="25"/>
      <c r="T307" s="25"/>
      <c r="U307" s="25"/>
      <c r="V307" s="25"/>
      <c r="W307" s="17" t="s">
        <v>753</v>
      </c>
      <c r="X307" s="17"/>
      <c r="Y307" s="25"/>
      <c r="Z307" s="25"/>
      <c r="AA307" s="25"/>
      <c r="AB307" s="25"/>
      <c r="AC307" s="25"/>
    </row>
    <row r="308" spans="1:29" x14ac:dyDescent="0.3">
      <c r="A308" s="25"/>
      <c r="B308" s="25"/>
      <c r="C308" s="25"/>
      <c r="D308" s="25"/>
      <c r="E308" s="25"/>
      <c r="F308" s="25"/>
      <c r="G308" s="25"/>
      <c r="H308" s="25"/>
      <c r="I308" s="25"/>
      <c r="J308" s="25"/>
      <c r="K308" s="25"/>
      <c r="L308" s="25"/>
      <c r="M308" s="25"/>
      <c r="N308" s="25"/>
      <c r="O308" s="25"/>
      <c r="P308" s="25"/>
      <c r="Q308" s="25"/>
      <c r="R308" s="25"/>
      <c r="S308" s="25"/>
      <c r="T308" s="25"/>
      <c r="U308" s="25"/>
      <c r="V308" s="25"/>
      <c r="W308" s="17" t="s">
        <v>754</v>
      </c>
      <c r="X308" s="17"/>
      <c r="Y308" s="25"/>
      <c r="Z308" s="25"/>
      <c r="AA308" s="25"/>
      <c r="AB308" s="25"/>
      <c r="AC308" s="25"/>
    </row>
    <row r="309" spans="1:29" x14ac:dyDescent="0.3">
      <c r="A309" s="25"/>
      <c r="B309" s="25"/>
      <c r="C309" s="25"/>
      <c r="D309" s="25"/>
      <c r="E309" s="25"/>
      <c r="F309" s="25"/>
      <c r="G309" s="25"/>
      <c r="H309" s="25"/>
      <c r="I309" s="25"/>
      <c r="J309" s="25"/>
      <c r="K309" s="25"/>
      <c r="L309" s="25"/>
      <c r="M309" s="25"/>
      <c r="N309" s="25"/>
      <c r="O309" s="25"/>
      <c r="P309" s="25"/>
      <c r="Q309" s="25"/>
      <c r="R309" s="25"/>
      <c r="S309" s="25"/>
      <c r="T309" s="25"/>
      <c r="U309" s="25"/>
      <c r="V309" s="25"/>
      <c r="W309" s="17" t="s">
        <v>755</v>
      </c>
      <c r="X309" s="17"/>
      <c r="Y309" s="25"/>
      <c r="Z309" s="25"/>
      <c r="AA309" s="25"/>
      <c r="AB309" s="25"/>
      <c r="AC309" s="25"/>
    </row>
    <row r="310" spans="1:29" x14ac:dyDescent="0.3">
      <c r="A310" s="25"/>
      <c r="B310" s="25"/>
      <c r="C310" s="25"/>
      <c r="D310" s="25"/>
      <c r="E310" s="25"/>
      <c r="F310" s="25"/>
      <c r="G310" s="25"/>
      <c r="H310" s="25"/>
      <c r="I310" s="25"/>
      <c r="J310" s="25"/>
      <c r="K310" s="25"/>
      <c r="L310" s="25"/>
      <c r="M310" s="25"/>
      <c r="N310" s="25"/>
      <c r="O310" s="25"/>
      <c r="P310" s="25"/>
      <c r="Q310" s="25"/>
      <c r="R310" s="25"/>
      <c r="S310" s="25"/>
      <c r="T310" s="25"/>
      <c r="U310" s="25"/>
      <c r="V310" s="25"/>
      <c r="W310" s="17" t="s">
        <v>756</v>
      </c>
      <c r="X310" s="17"/>
      <c r="Y310" s="25"/>
      <c r="Z310" s="25"/>
      <c r="AA310" s="25"/>
      <c r="AB310" s="25"/>
      <c r="AC310" s="25"/>
    </row>
    <row r="311" spans="1:29" x14ac:dyDescent="0.3">
      <c r="A311" s="25"/>
      <c r="B311" s="25"/>
      <c r="C311" s="25"/>
      <c r="D311" s="25"/>
      <c r="E311" s="25"/>
      <c r="F311" s="25"/>
      <c r="G311" s="25"/>
      <c r="H311" s="25"/>
      <c r="I311" s="25"/>
      <c r="J311" s="25"/>
      <c r="K311" s="25"/>
      <c r="L311" s="25"/>
      <c r="M311" s="25"/>
      <c r="N311" s="25"/>
      <c r="O311" s="25"/>
      <c r="P311" s="25"/>
      <c r="Q311" s="25"/>
      <c r="R311" s="25"/>
      <c r="S311" s="25"/>
      <c r="T311" s="25"/>
      <c r="U311" s="25"/>
      <c r="V311" s="25"/>
      <c r="W311" s="17" t="s">
        <v>757</v>
      </c>
      <c r="X311" s="17"/>
      <c r="Y311" s="25"/>
      <c r="Z311" s="25"/>
      <c r="AA311" s="25"/>
      <c r="AB311" s="25"/>
      <c r="AC311" s="25"/>
    </row>
    <row r="312" spans="1:29" x14ac:dyDescent="0.3">
      <c r="A312" s="25"/>
      <c r="B312" s="25"/>
      <c r="C312" s="25"/>
      <c r="D312" s="25"/>
      <c r="E312" s="25"/>
      <c r="F312" s="25"/>
      <c r="G312" s="25"/>
      <c r="H312" s="25"/>
      <c r="I312" s="25"/>
      <c r="J312" s="25"/>
      <c r="K312" s="25"/>
      <c r="L312" s="25"/>
      <c r="M312" s="25"/>
      <c r="N312" s="25"/>
      <c r="O312" s="25"/>
      <c r="P312" s="25"/>
      <c r="Q312" s="25"/>
      <c r="R312" s="25"/>
      <c r="S312" s="25"/>
      <c r="T312" s="25"/>
      <c r="U312" s="25"/>
      <c r="V312" s="25"/>
      <c r="W312" s="17" t="s">
        <v>758</v>
      </c>
      <c r="X312" s="17"/>
      <c r="Y312" s="25"/>
      <c r="Z312" s="25"/>
      <c r="AA312" s="25"/>
      <c r="AB312" s="25"/>
      <c r="AC312" s="25"/>
    </row>
    <row r="313" spans="1:29" x14ac:dyDescent="0.3">
      <c r="A313" s="25"/>
      <c r="B313" s="25"/>
      <c r="C313" s="25"/>
      <c r="D313" s="25"/>
      <c r="E313" s="25"/>
      <c r="F313" s="25"/>
      <c r="G313" s="25"/>
      <c r="H313" s="25"/>
      <c r="I313" s="25"/>
      <c r="J313" s="25"/>
      <c r="K313" s="25"/>
      <c r="L313" s="25"/>
      <c r="M313" s="25"/>
      <c r="N313" s="25"/>
      <c r="O313" s="25"/>
      <c r="P313" s="25"/>
      <c r="Q313" s="25"/>
      <c r="R313" s="25"/>
      <c r="S313" s="25"/>
      <c r="T313" s="25"/>
      <c r="U313" s="25"/>
      <c r="V313" s="25"/>
      <c r="W313" s="17" t="s">
        <v>759</v>
      </c>
      <c r="X313" s="17"/>
      <c r="Y313" s="25"/>
      <c r="Z313" s="25"/>
      <c r="AA313" s="25"/>
      <c r="AB313" s="25"/>
      <c r="AC313" s="25"/>
    </row>
    <row r="314" spans="1:29" x14ac:dyDescent="0.3">
      <c r="A314" s="25"/>
      <c r="B314" s="25"/>
      <c r="C314" s="25"/>
      <c r="D314" s="25"/>
      <c r="E314" s="25"/>
      <c r="F314" s="25"/>
      <c r="G314" s="25"/>
      <c r="H314" s="25"/>
      <c r="I314" s="25"/>
      <c r="J314" s="25"/>
      <c r="K314" s="25"/>
      <c r="L314" s="25"/>
      <c r="M314" s="25"/>
      <c r="N314" s="25"/>
      <c r="O314" s="25"/>
      <c r="P314" s="25"/>
      <c r="Q314" s="25"/>
      <c r="R314" s="25"/>
      <c r="S314" s="25"/>
      <c r="T314" s="25"/>
      <c r="U314" s="25"/>
      <c r="V314" s="25"/>
      <c r="W314" s="17" t="s">
        <v>760</v>
      </c>
      <c r="X314" s="17"/>
      <c r="Y314" s="25"/>
      <c r="Z314" s="25"/>
      <c r="AA314" s="25"/>
      <c r="AB314" s="25"/>
      <c r="AC314" s="25"/>
    </row>
    <row r="315" spans="1:29" x14ac:dyDescent="0.3">
      <c r="A315" s="25"/>
      <c r="B315" s="25"/>
      <c r="C315" s="25"/>
      <c r="D315" s="25"/>
      <c r="E315" s="25"/>
      <c r="F315" s="25"/>
      <c r="G315" s="25"/>
      <c r="H315" s="25"/>
      <c r="I315" s="25"/>
      <c r="J315" s="25"/>
      <c r="K315" s="25"/>
      <c r="L315" s="25"/>
      <c r="M315" s="25"/>
      <c r="N315" s="25"/>
      <c r="O315" s="25"/>
      <c r="P315" s="25"/>
      <c r="Q315" s="25"/>
      <c r="R315" s="25"/>
      <c r="S315" s="25"/>
      <c r="T315" s="25"/>
      <c r="U315" s="25"/>
      <c r="V315" s="25"/>
      <c r="W315" s="17" t="s">
        <v>761</v>
      </c>
      <c r="X315" s="17"/>
      <c r="Y315" s="25"/>
      <c r="Z315" s="25"/>
      <c r="AA315" s="25"/>
      <c r="AB315" s="25"/>
      <c r="AC315" s="25"/>
    </row>
    <row r="316" spans="1:29" x14ac:dyDescent="0.3">
      <c r="A316" s="25"/>
      <c r="B316" s="25"/>
      <c r="C316" s="25"/>
      <c r="D316" s="25"/>
      <c r="E316" s="25"/>
      <c r="F316" s="25"/>
      <c r="G316" s="25"/>
      <c r="H316" s="25"/>
      <c r="I316" s="25"/>
      <c r="J316" s="25"/>
      <c r="K316" s="25"/>
      <c r="L316" s="25"/>
      <c r="M316" s="25"/>
      <c r="N316" s="25"/>
      <c r="O316" s="25"/>
      <c r="P316" s="25"/>
      <c r="Q316" s="25"/>
      <c r="R316" s="25"/>
      <c r="S316" s="25"/>
      <c r="T316" s="25"/>
      <c r="U316" s="25"/>
      <c r="V316" s="25"/>
      <c r="W316" s="17" t="s">
        <v>762</v>
      </c>
      <c r="X316" s="17"/>
      <c r="Y316" s="25"/>
      <c r="Z316" s="25"/>
      <c r="AA316" s="25"/>
      <c r="AB316" s="25"/>
      <c r="AC316" s="25"/>
    </row>
    <row r="317" spans="1:29" x14ac:dyDescent="0.3">
      <c r="A317" s="25"/>
      <c r="B317" s="25"/>
      <c r="C317" s="25"/>
      <c r="D317" s="25"/>
      <c r="E317" s="25"/>
      <c r="F317" s="25"/>
      <c r="G317" s="25"/>
      <c r="H317" s="25"/>
      <c r="I317" s="25"/>
      <c r="J317" s="25"/>
      <c r="K317" s="25"/>
      <c r="L317" s="25"/>
      <c r="M317" s="25"/>
      <c r="N317" s="25"/>
      <c r="O317" s="25"/>
      <c r="P317" s="25"/>
      <c r="Q317" s="25"/>
      <c r="R317" s="25"/>
      <c r="S317" s="25"/>
      <c r="T317" s="25"/>
      <c r="U317" s="25"/>
      <c r="V317" s="25"/>
      <c r="W317" s="17" t="s">
        <v>763</v>
      </c>
      <c r="X317" s="17"/>
      <c r="Y317" s="25"/>
      <c r="Z317" s="25"/>
      <c r="AA317" s="25"/>
      <c r="AB317" s="25"/>
      <c r="AC317" s="25"/>
    </row>
    <row r="318" spans="1:29" x14ac:dyDescent="0.3">
      <c r="A318" s="25"/>
      <c r="B318" s="25"/>
      <c r="C318" s="25"/>
      <c r="D318" s="25"/>
      <c r="E318" s="25"/>
      <c r="F318" s="25"/>
      <c r="G318" s="25"/>
      <c r="H318" s="25"/>
      <c r="I318" s="25"/>
      <c r="J318" s="25"/>
      <c r="K318" s="25"/>
      <c r="L318" s="25"/>
      <c r="M318" s="25"/>
      <c r="N318" s="25"/>
      <c r="O318" s="25"/>
      <c r="P318" s="25"/>
      <c r="Q318" s="25"/>
      <c r="R318" s="25"/>
      <c r="S318" s="25"/>
      <c r="T318" s="25"/>
      <c r="U318" s="25"/>
      <c r="V318" s="25"/>
      <c r="W318" s="17" t="s">
        <v>764</v>
      </c>
      <c r="X318" s="17"/>
      <c r="Y318" s="25"/>
      <c r="Z318" s="25"/>
      <c r="AA318" s="25"/>
      <c r="AB318" s="25"/>
      <c r="AC318" s="25"/>
    </row>
    <row r="319" spans="1:29" x14ac:dyDescent="0.3">
      <c r="A319" s="25"/>
      <c r="B319" s="25"/>
      <c r="C319" s="25"/>
      <c r="D319" s="25"/>
      <c r="E319" s="25"/>
      <c r="F319" s="25"/>
      <c r="G319" s="25"/>
      <c r="H319" s="25"/>
      <c r="I319" s="25"/>
      <c r="J319" s="25"/>
      <c r="K319" s="25"/>
      <c r="L319" s="25"/>
      <c r="M319" s="25"/>
      <c r="N319" s="25"/>
      <c r="O319" s="25"/>
      <c r="P319" s="25"/>
      <c r="Q319" s="25"/>
      <c r="R319" s="25"/>
      <c r="S319" s="25"/>
      <c r="T319" s="25"/>
      <c r="U319" s="25"/>
      <c r="V319" s="25"/>
      <c r="W319" s="17" t="s">
        <v>765</v>
      </c>
      <c r="X319" s="17"/>
      <c r="Y319" s="25"/>
      <c r="Z319" s="25"/>
      <c r="AA319" s="25"/>
      <c r="AB319" s="25"/>
      <c r="AC319" s="25"/>
    </row>
    <row r="320" spans="1:29" x14ac:dyDescent="0.3">
      <c r="A320" s="25"/>
      <c r="B320" s="25"/>
      <c r="C320" s="25"/>
      <c r="D320" s="25"/>
      <c r="E320" s="25"/>
      <c r="F320" s="25"/>
      <c r="G320" s="25"/>
      <c r="H320" s="25"/>
      <c r="I320" s="25"/>
      <c r="J320" s="25"/>
      <c r="K320" s="25"/>
      <c r="L320" s="25"/>
      <c r="M320" s="25"/>
      <c r="N320" s="25"/>
      <c r="O320" s="25"/>
      <c r="P320" s="25"/>
      <c r="Q320" s="25"/>
      <c r="R320" s="25"/>
      <c r="S320" s="25"/>
      <c r="T320" s="25"/>
      <c r="U320" s="25"/>
      <c r="V320" s="25"/>
      <c r="W320" s="17" t="s">
        <v>766</v>
      </c>
      <c r="X320" s="17"/>
      <c r="Y320" s="25"/>
      <c r="Z320" s="25"/>
      <c r="AA320" s="25"/>
      <c r="AB320" s="25"/>
      <c r="AC320" s="25"/>
    </row>
    <row r="321" spans="1:29" x14ac:dyDescent="0.3">
      <c r="A321" s="25"/>
      <c r="B321" s="25"/>
      <c r="C321" s="25"/>
      <c r="D321" s="25"/>
      <c r="E321" s="25"/>
      <c r="F321" s="25"/>
      <c r="G321" s="25"/>
      <c r="H321" s="25"/>
      <c r="I321" s="25"/>
      <c r="J321" s="25"/>
      <c r="K321" s="25"/>
      <c r="L321" s="25"/>
      <c r="M321" s="25"/>
      <c r="N321" s="25"/>
      <c r="O321" s="25"/>
      <c r="P321" s="25"/>
      <c r="Q321" s="25"/>
      <c r="R321" s="25"/>
      <c r="S321" s="25"/>
      <c r="T321" s="25"/>
      <c r="U321" s="25"/>
      <c r="V321" s="25"/>
      <c r="W321" s="17" t="s">
        <v>767</v>
      </c>
      <c r="X321" s="17"/>
      <c r="Y321" s="25"/>
      <c r="Z321" s="25"/>
      <c r="AA321" s="25"/>
      <c r="AB321" s="25"/>
      <c r="AC321" s="25"/>
    </row>
    <row r="322" spans="1:29" x14ac:dyDescent="0.3">
      <c r="A322" s="25"/>
      <c r="B322" s="25"/>
      <c r="C322" s="25"/>
      <c r="D322" s="25"/>
      <c r="E322" s="25"/>
      <c r="F322" s="25"/>
      <c r="G322" s="25"/>
      <c r="H322" s="25"/>
      <c r="I322" s="25"/>
      <c r="J322" s="25"/>
      <c r="K322" s="25"/>
      <c r="L322" s="25"/>
      <c r="M322" s="25"/>
      <c r="N322" s="25"/>
      <c r="O322" s="25"/>
      <c r="P322" s="25"/>
      <c r="Q322" s="25"/>
      <c r="R322" s="25"/>
      <c r="S322" s="25"/>
      <c r="T322" s="25"/>
      <c r="U322" s="25"/>
      <c r="V322" s="25"/>
      <c r="W322" s="17" t="s">
        <v>768</v>
      </c>
      <c r="X322" s="17"/>
      <c r="Y322" s="25"/>
      <c r="Z322" s="25"/>
      <c r="AA322" s="25"/>
      <c r="AB322" s="25"/>
      <c r="AC322" s="25"/>
    </row>
    <row r="323" spans="1:29" x14ac:dyDescent="0.3">
      <c r="A323" s="25"/>
      <c r="B323" s="25"/>
      <c r="C323" s="25"/>
      <c r="D323" s="25"/>
      <c r="E323" s="25"/>
      <c r="F323" s="25"/>
      <c r="G323" s="25"/>
      <c r="H323" s="25"/>
      <c r="I323" s="25"/>
      <c r="J323" s="25"/>
      <c r="K323" s="25"/>
      <c r="L323" s="25"/>
      <c r="M323" s="25"/>
      <c r="N323" s="25"/>
      <c r="O323" s="25"/>
      <c r="P323" s="25"/>
      <c r="Q323" s="25"/>
      <c r="R323" s="25"/>
      <c r="S323" s="25"/>
      <c r="T323" s="25"/>
      <c r="U323" s="25"/>
      <c r="V323" s="25"/>
      <c r="W323" s="17" t="s">
        <v>769</v>
      </c>
      <c r="X323" s="17"/>
      <c r="Y323" s="25"/>
      <c r="Z323" s="25"/>
      <c r="AA323" s="25"/>
      <c r="AB323" s="25"/>
      <c r="AC323" s="25"/>
    </row>
    <row r="324" spans="1:29" x14ac:dyDescent="0.3">
      <c r="A324" s="25"/>
      <c r="B324" s="25"/>
      <c r="C324" s="25"/>
      <c r="D324" s="25"/>
      <c r="E324" s="25"/>
      <c r="F324" s="25"/>
      <c r="G324" s="25"/>
      <c r="H324" s="25"/>
      <c r="I324" s="25"/>
      <c r="J324" s="25"/>
      <c r="K324" s="25"/>
      <c r="L324" s="25"/>
      <c r="M324" s="25"/>
      <c r="N324" s="25"/>
      <c r="O324" s="25"/>
      <c r="P324" s="25"/>
      <c r="Q324" s="25"/>
      <c r="R324" s="25"/>
      <c r="S324" s="25"/>
      <c r="T324" s="25"/>
      <c r="U324" s="25"/>
      <c r="V324" s="25"/>
      <c r="W324" s="17" t="s">
        <v>770</v>
      </c>
      <c r="X324" s="17"/>
      <c r="Y324" s="25"/>
      <c r="Z324" s="25"/>
      <c r="AA324" s="25"/>
      <c r="AB324" s="25"/>
      <c r="AC324" s="25"/>
    </row>
    <row r="325" spans="1:29" x14ac:dyDescent="0.3">
      <c r="A325" s="25"/>
      <c r="B325" s="25"/>
      <c r="C325" s="25"/>
      <c r="D325" s="25"/>
      <c r="E325" s="25"/>
      <c r="F325" s="25"/>
      <c r="G325" s="25"/>
      <c r="H325" s="25"/>
      <c r="I325" s="25"/>
      <c r="J325" s="25"/>
      <c r="K325" s="25"/>
      <c r="L325" s="25"/>
      <c r="M325" s="25"/>
      <c r="N325" s="25"/>
      <c r="O325" s="25"/>
      <c r="P325" s="25"/>
      <c r="Q325" s="25"/>
      <c r="R325" s="25"/>
      <c r="S325" s="25"/>
      <c r="T325" s="25"/>
      <c r="U325" s="25"/>
      <c r="V325" s="25"/>
      <c r="W325" s="17" t="s">
        <v>771</v>
      </c>
      <c r="X325" s="17"/>
      <c r="Y325" s="25"/>
      <c r="Z325" s="25"/>
      <c r="AA325" s="25"/>
      <c r="AB325" s="25"/>
      <c r="AC325" s="25"/>
    </row>
    <row r="326" spans="1:29" x14ac:dyDescent="0.3">
      <c r="A326" s="25"/>
      <c r="B326" s="25"/>
      <c r="C326" s="25"/>
      <c r="D326" s="25"/>
      <c r="E326" s="25"/>
      <c r="F326" s="25"/>
      <c r="G326" s="25"/>
      <c r="H326" s="25"/>
      <c r="I326" s="25"/>
      <c r="J326" s="25"/>
      <c r="K326" s="25"/>
      <c r="L326" s="25"/>
      <c r="M326" s="25"/>
      <c r="N326" s="25"/>
      <c r="O326" s="25"/>
      <c r="P326" s="25"/>
      <c r="Q326" s="25"/>
      <c r="R326" s="25"/>
      <c r="S326" s="25"/>
      <c r="T326" s="25"/>
      <c r="U326" s="25"/>
      <c r="V326" s="25"/>
      <c r="W326" s="17" t="s">
        <v>772</v>
      </c>
      <c r="X326" s="17"/>
      <c r="Y326" s="25"/>
      <c r="Z326" s="25"/>
      <c r="AA326" s="25"/>
      <c r="AB326" s="25"/>
      <c r="AC326" s="25"/>
    </row>
    <row r="327" spans="1:29" x14ac:dyDescent="0.3">
      <c r="A327" s="25"/>
      <c r="B327" s="25"/>
      <c r="C327" s="25"/>
      <c r="D327" s="25"/>
      <c r="E327" s="25"/>
      <c r="F327" s="25"/>
      <c r="G327" s="25"/>
      <c r="H327" s="25"/>
      <c r="I327" s="25"/>
      <c r="J327" s="25"/>
      <c r="K327" s="25"/>
      <c r="L327" s="25"/>
      <c r="M327" s="25"/>
      <c r="N327" s="25"/>
      <c r="O327" s="25"/>
      <c r="P327" s="25"/>
      <c r="Q327" s="25"/>
      <c r="R327" s="25"/>
      <c r="S327" s="25"/>
      <c r="T327" s="25"/>
      <c r="U327" s="25"/>
      <c r="V327" s="25"/>
      <c r="W327" s="17" t="s">
        <v>773</v>
      </c>
      <c r="X327" s="17"/>
      <c r="Y327" s="25"/>
      <c r="Z327" s="25"/>
      <c r="AA327" s="25"/>
      <c r="AB327" s="25"/>
      <c r="AC327" s="25"/>
    </row>
    <row r="328" spans="1:29" x14ac:dyDescent="0.3">
      <c r="A328" s="25"/>
      <c r="B328" s="25"/>
      <c r="C328" s="25"/>
      <c r="D328" s="25"/>
      <c r="E328" s="25"/>
      <c r="F328" s="25"/>
      <c r="G328" s="25"/>
      <c r="H328" s="25"/>
      <c r="I328" s="25"/>
      <c r="J328" s="25"/>
      <c r="K328" s="25"/>
      <c r="L328" s="25"/>
      <c r="M328" s="25"/>
      <c r="N328" s="25"/>
      <c r="O328" s="25"/>
      <c r="P328" s="25"/>
      <c r="Q328" s="25"/>
      <c r="R328" s="25"/>
      <c r="S328" s="25"/>
      <c r="T328" s="25"/>
      <c r="U328" s="25"/>
      <c r="V328" s="25"/>
      <c r="W328" s="17" t="s">
        <v>774</v>
      </c>
      <c r="X328" s="17"/>
      <c r="Y328" s="25"/>
      <c r="Z328" s="25"/>
      <c r="AA328" s="25"/>
      <c r="AB328" s="25"/>
      <c r="AC328" s="25"/>
    </row>
    <row r="329" spans="1:29" x14ac:dyDescent="0.3">
      <c r="A329" s="25"/>
      <c r="B329" s="25"/>
      <c r="C329" s="25"/>
      <c r="D329" s="25"/>
      <c r="E329" s="25"/>
      <c r="F329" s="25"/>
      <c r="G329" s="25"/>
      <c r="H329" s="25"/>
      <c r="I329" s="25"/>
      <c r="J329" s="25"/>
      <c r="K329" s="25"/>
      <c r="L329" s="25"/>
      <c r="M329" s="25"/>
      <c r="N329" s="25"/>
      <c r="O329" s="25"/>
      <c r="P329" s="25"/>
      <c r="Q329" s="25"/>
      <c r="R329" s="25"/>
      <c r="S329" s="25"/>
      <c r="T329" s="25"/>
      <c r="U329" s="25"/>
      <c r="V329" s="25"/>
      <c r="W329" s="17" t="s">
        <v>775</v>
      </c>
      <c r="X329" s="17"/>
      <c r="Y329" s="25"/>
      <c r="Z329" s="25"/>
      <c r="AA329" s="25"/>
      <c r="AB329" s="25"/>
      <c r="AC329" s="25"/>
    </row>
    <row r="330" spans="1:29" x14ac:dyDescent="0.3">
      <c r="A330" s="25"/>
      <c r="B330" s="25"/>
      <c r="C330" s="25"/>
      <c r="D330" s="25"/>
      <c r="E330" s="25"/>
      <c r="F330" s="25"/>
      <c r="G330" s="25"/>
      <c r="H330" s="25"/>
      <c r="I330" s="25"/>
      <c r="J330" s="25"/>
      <c r="K330" s="25"/>
      <c r="L330" s="25"/>
      <c r="M330" s="25"/>
      <c r="N330" s="25"/>
      <c r="O330" s="25"/>
      <c r="P330" s="25"/>
      <c r="Q330" s="25"/>
      <c r="R330" s="25"/>
      <c r="S330" s="25"/>
      <c r="T330" s="25"/>
      <c r="U330" s="25"/>
      <c r="V330" s="25"/>
      <c r="W330" s="17" t="s">
        <v>776</v>
      </c>
      <c r="X330" s="17"/>
      <c r="Y330" s="25"/>
      <c r="Z330" s="25"/>
      <c r="AA330" s="25"/>
      <c r="AB330" s="25"/>
      <c r="AC330" s="25"/>
    </row>
    <row r="331" spans="1:29" x14ac:dyDescent="0.3">
      <c r="A331" s="25"/>
      <c r="B331" s="25"/>
      <c r="C331" s="25"/>
      <c r="D331" s="25"/>
      <c r="E331" s="25"/>
      <c r="F331" s="25"/>
      <c r="G331" s="25"/>
      <c r="H331" s="25"/>
      <c r="I331" s="25"/>
      <c r="J331" s="25"/>
      <c r="K331" s="25"/>
      <c r="L331" s="25"/>
      <c r="M331" s="25"/>
      <c r="N331" s="25"/>
      <c r="O331" s="25"/>
      <c r="P331" s="25"/>
      <c r="Q331" s="25"/>
      <c r="R331" s="25"/>
      <c r="S331" s="25"/>
      <c r="T331" s="25"/>
      <c r="U331" s="25"/>
      <c r="V331" s="25"/>
      <c r="W331" s="17" t="s">
        <v>777</v>
      </c>
      <c r="X331" s="17"/>
      <c r="Y331" s="25"/>
      <c r="Z331" s="25"/>
      <c r="AA331" s="25"/>
      <c r="AB331" s="25"/>
      <c r="AC331" s="25"/>
    </row>
    <row r="332" spans="1:29" x14ac:dyDescent="0.3">
      <c r="A332" s="25"/>
      <c r="B332" s="25"/>
      <c r="C332" s="25"/>
      <c r="D332" s="25"/>
      <c r="E332" s="25"/>
      <c r="F332" s="25"/>
      <c r="G332" s="25"/>
      <c r="H332" s="25"/>
      <c r="I332" s="25"/>
      <c r="J332" s="25"/>
      <c r="K332" s="25"/>
      <c r="L332" s="25"/>
      <c r="M332" s="25"/>
      <c r="N332" s="25"/>
      <c r="O332" s="25"/>
      <c r="P332" s="25"/>
      <c r="Q332" s="25"/>
      <c r="R332" s="25"/>
      <c r="S332" s="25"/>
      <c r="T332" s="25"/>
      <c r="U332" s="25"/>
      <c r="V332" s="25"/>
      <c r="W332" s="17" t="s">
        <v>778</v>
      </c>
      <c r="X332" s="17"/>
      <c r="Y332" s="25"/>
      <c r="Z332" s="25"/>
      <c r="AA332" s="25"/>
      <c r="AB332" s="25"/>
      <c r="AC332" s="25"/>
    </row>
    <row r="333" spans="1:29" x14ac:dyDescent="0.3">
      <c r="A333" s="25"/>
      <c r="B333" s="25"/>
      <c r="C333" s="25"/>
      <c r="D333" s="25"/>
      <c r="E333" s="25"/>
      <c r="F333" s="25"/>
      <c r="G333" s="25"/>
      <c r="H333" s="25"/>
      <c r="I333" s="25"/>
      <c r="J333" s="25"/>
      <c r="K333" s="25"/>
      <c r="L333" s="25"/>
      <c r="M333" s="25"/>
      <c r="N333" s="25"/>
      <c r="O333" s="25"/>
      <c r="P333" s="25"/>
      <c r="Q333" s="25"/>
      <c r="R333" s="25"/>
      <c r="S333" s="25"/>
      <c r="T333" s="25"/>
      <c r="U333" s="25"/>
      <c r="V333" s="25"/>
      <c r="W333" s="17" t="s">
        <v>779</v>
      </c>
      <c r="X333" s="17"/>
      <c r="Y333" s="25"/>
      <c r="Z333" s="25"/>
      <c r="AA333" s="25"/>
      <c r="AB333" s="25"/>
      <c r="AC333" s="25"/>
    </row>
    <row r="334" spans="1:29" x14ac:dyDescent="0.3">
      <c r="A334" s="25"/>
      <c r="B334" s="25"/>
      <c r="C334" s="25"/>
      <c r="D334" s="25"/>
      <c r="E334" s="25"/>
      <c r="F334" s="25"/>
      <c r="G334" s="25"/>
      <c r="H334" s="25"/>
      <c r="I334" s="25"/>
      <c r="J334" s="25"/>
      <c r="K334" s="25"/>
      <c r="L334" s="25"/>
      <c r="M334" s="25"/>
      <c r="N334" s="25"/>
      <c r="O334" s="25"/>
      <c r="P334" s="25"/>
      <c r="Q334" s="25"/>
      <c r="R334" s="25"/>
      <c r="S334" s="25"/>
      <c r="T334" s="25"/>
      <c r="U334" s="25"/>
      <c r="V334" s="25"/>
      <c r="W334" s="17" t="s">
        <v>780</v>
      </c>
      <c r="X334" s="17"/>
      <c r="Y334" s="25"/>
      <c r="Z334" s="25"/>
      <c r="AA334" s="25"/>
      <c r="AB334" s="25"/>
      <c r="AC334" s="25"/>
    </row>
    <row r="335" spans="1:29" x14ac:dyDescent="0.3">
      <c r="A335" s="25"/>
      <c r="B335" s="25"/>
      <c r="C335" s="25"/>
      <c r="D335" s="25"/>
      <c r="E335" s="25"/>
      <c r="F335" s="25"/>
      <c r="G335" s="25"/>
      <c r="H335" s="25"/>
      <c r="I335" s="25"/>
      <c r="J335" s="25"/>
      <c r="K335" s="25"/>
      <c r="L335" s="25"/>
      <c r="M335" s="25"/>
      <c r="N335" s="25"/>
      <c r="O335" s="25"/>
      <c r="P335" s="25"/>
      <c r="Q335" s="25"/>
      <c r="R335" s="25"/>
      <c r="S335" s="25"/>
      <c r="T335" s="25"/>
      <c r="U335" s="25"/>
      <c r="V335" s="25"/>
      <c r="W335" s="17" t="s">
        <v>781</v>
      </c>
      <c r="X335" s="17"/>
      <c r="Y335" s="25"/>
      <c r="Z335" s="25"/>
      <c r="AA335" s="25"/>
      <c r="AB335" s="25"/>
      <c r="AC335" s="25"/>
    </row>
    <row r="336" spans="1:29" x14ac:dyDescent="0.3">
      <c r="A336" s="25"/>
      <c r="B336" s="25"/>
      <c r="C336" s="25"/>
      <c r="D336" s="25"/>
      <c r="E336" s="25"/>
      <c r="F336" s="25"/>
      <c r="G336" s="25"/>
      <c r="H336" s="25"/>
      <c r="I336" s="25"/>
      <c r="J336" s="25"/>
      <c r="K336" s="25"/>
      <c r="L336" s="25"/>
      <c r="M336" s="25"/>
      <c r="N336" s="25"/>
      <c r="O336" s="25"/>
      <c r="P336" s="25"/>
      <c r="Q336" s="25"/>
      <c r="R336" s="25"/>
      <c r="S336" s="25"/>
      <c r="T336" s="25"/>
      <c r="U336" s="25"/>
      <c r="V336" s="25"/>
      <c r="W336" s="17" t="s">
        <v>782</v>
      </c>
      <c r="X336" s="17"/>
      <c r="Y336" s="25"/>
      <c r="Z336" s="25"/>
      <c r="AA336" s="25"/>
      <c r="AB336" s="25"/>
      <c r="AC336" s="25"/>
    </row>
    <row r="337" spans="1:29" x14ac:dyDescent="0.3">
      <c r="A337" s="25"/>
      <c r="B337" s="25"/>
      <c r="C337" s="25"/>
      <c r="D337" s="25"/>
      <c r="E337" s="25"/>
      <c r="F337" s="25"/>
      <c r="G337" s="25"/>
      <c r="H337" s="25"/>
      <c r="I337" s="25"/>
      <c r="J337" s="25"/>
      <c r="K337" s="25"/>
      <c r="L337" s="25"/>
      <c r="M337" s="25"/>
      <c r="N337" s="25"/>
      <c r="O337" s="25"/>
      <c r="P337" s="25"/>
      <c r="Q337" s="25"/>
      <c r="R337" s="25"/>
      <c r="S337" s="25"/>
      <c r="T337" s="25"/>
      <c r="U337" s="25"/>
      <c r="V337" s="25"/>
      <c r="W337" s="17" t="s">
        <v>783</v>
      </c>
      <c r="X337" s="17"/>
      <c r="Y337" s="25"/>
      <c r="Z337" s="25"/>
      <c r="AA337" s="25"/>
      <c r="AB337" s="25"/>
      <c r="AC337" s="25"/>
    </row>
    <row r="338" spans="1:29" x14ac:dyDescent="0.3">
      <c r="A338" s="25"/>
      <c r="B338" s="25"/>
      <c r="C338" s="25"/>
      <c r="D338" s="25"/>
      <c r="E338" s="25"/>
      <c r="F338" s="25"/>
      <c r="G338" s="25"/>
      <c r="H338" s="25"/>
      <c r="I338" s="25"/>
      <c r="J338" s="25"/>
      <c r="K338" s="25"/>
      <c r="L338" s="25"/>
      <c r="M338" s="25"/>
      <c r="N338" s="25"/>
      <c r="O338" s="25"/>
      <c r="P338" s="25"/>
      <c r="Q338" s="25"/>
      <c r="R338" s="25"/>
      <c r="S338" s="25"/>
      <c r="T338" s="25"/>
      <c r="U338" s="25"/>
      <c r="V338" s="25"/>
      <c r="W338" s="17" t="s">
        <v>784</v>
      </c>
      <c r="X338" s="17"/>
      <c r="Y338" s="25"/>
      <c r="Z338" s="25"/>
      <c r="AA338" s="25"/>
      <c r="AB338" s="25"/>
      <c r="AC338" s="25"/>
    </row>
    <row r="339" spans="1:29" x14ac:dyDescent="0.3">
      <c r="A339" s="25"/>
      <c r="B339" s="25"/>
      <c r="C339" s="25"/>
      <c r="D339" s="25"/>
      <c r="E339" s="25"/>
      <c r="F339" s="25"/>
      <c r="G339" s="25"/>
      <c r="H339" s="25"/>
      <c r="I339" s="25"/>
      <c r="J339" s="25"/>
      <c r="K339" s="25"/>
      <c r="L339" s="25"/>
      <c r="M339" s="25"/>
      <c r="N339" s="25"/>
      <c r="O339" s="25"/>
      <c r="P339" s="25"/>
      <c r="Q339" s="25"/>
      <c r="R339" s="25"/>
      <c r="S339" s="25"/>
      <c r="T339" s="25"/>
      <c r="U339" s="25"/>
      <c r="V339" s="25"/>
      <c r="W339" s="17" t="s">
        <v>785</v>
      </c>
      <c r="X339" s="17"/>
      <c r="Y339" s="25"/>
      <c r="Z339" s="25"/>
      <c r="AA339" s="25"/>
      <c r="AB339" s="25"/>
      <c r="AC339" s="25"/>
    </row>
    <row r="340" spans="1:29" x14ac:dyDescent="0.3">
      <c r="A340" s="25"/>
      <c r="B340" s="25"/>
      <c r="C340" s="25"/>
      <c r="D340" s="25"/>
      <c r="E340" s="25"/>
      <c r="F340" s="25"/>
      <c r="G340" s="25"/>
      <c r="H340" s="25"/>
      <c r="I340" s="25"/>
      <c r="J340" s="25"/>
      <c r="K340" s="25"/>
      <c r="L340" s="25"/>
      <c r="M340" s="25"/>
      <c r="N340" s="25"/>
      <c r="O340" s="25"/>
      <c r="P340" s="25"/>
      <c r="Q340" s="25"/>
      <c r="R340" s="25"/>
      <c r="S340" s="25"/>
      <c r="T340" s="25"/>
      <c r="U340" s="25"/>
      <c r="V340" s="25"/>
      <c r="W340" s="17" t="s">
        <v>786</v>
      </c>
      <c r="X340" s="17"/>
      <c r="Y340" s="25"/>
      <c r="Z340" s="25"/>
      <c r="AA340" s="25"/>
      <c r="AB340" s="25"/>
      <c r="AC340" s="25"/>
    </row>
    <row r="341" spans="1:29" x14ac:dyDescent="0.3">
      <c r="A341" s="25"/>
      <c r="B341" s="25"/>
      <c r="C341" s="25"/>
      <c r="D341" s="25"/>
      <c r="E341" s="25"/>
      <c r="F341" s="25"/>
      <c r="G341" s="25"/>
      <c r="H341" s="25"/>
      <c r="I341" s="25"/>
      <c r="J341" s="25"/>
      <c r="K341" s="25"/>
      <c r="L341" s="25"/>
      <c r="M341" s="25"/>
      <c r="N341" s="25"/>
      <c r="O341" s="25"/>
      <c r="P341" s="25"/>
      <c r="Q341" s="25"/>
      <c r="R341" s="25"/>
      <c r="S341" s="25"/>
      <c r="T341" s="25"/>
      <c r="U341" s="25"/>
      <c r="V341" s="25"/>
      <c r="W341" s="17" t="s">
        <v>787</v>
      </c>
      <c r="X341" s="17"/>
      <c r="Y341" s="25"/>
      <c r="Z341" s="25"/>
      <c r="AA341" s="25"/>
      <c r="AB341" s="25"/>
      <c r="AC341" s="25"/>
    </row>
    <row r="342" spans="1:29" x14ac:dyDescent="0.3">
      <c r="A342" s="25"/>
      <c r="B342" s="25"/>
      <c r="C342" s="25"/>
      <c r="D342" s="25"/>
      <c r="E342" s="25"/>
      <c r="F342" s="25"/>
      <c r="G342" s="25"/>
      <c r="H342" s="25"/>
      <c r="I342" s="25"/>
      <c r="J342" s="25"/>
      <c r="K342" s="25"/>
      <c r="L342" s="25"/>
      <c r="M342" s="25"/>
      <c r="N342" s="25"/>
      <c r="O342" s="25"/>
      <c r="P342" s="25"/>
      <c r="Q342" s="25"/>
      <c r="R342" s="25"/>
      <c r="S342" s="25"/>
      <c r="T342" s="25"/>
      <c r="U342" s="25"/>
      <c r="V342" s="25"/>
      <c r="W342" s="17" t="s">
        <v>788</v>
      </c>
      <c r="X342" s="17"/>
      <c r="Y342" s="25"/>
      <c r="Z342" s="25"/>
      <c r="AA342" s="25"/>
      <c r="AB342" s="25"/>
      <c r="AC342" s="25"/>
    </row>
    <row r="343" spans="1:29" x14ac:dyDescent="0.3">
      <c r="A343" s="25"/>
      <c r="B343" s="25"/>
      <c r="C343" s="25"/>
      <c r="D343" s="25"/>
      <c r="E343" s="25"/>
      <c r="F343" s="25"/>
      <c r="G343" s="25"/>
      <c r="H343" s="25"/>
      <c r="I343" s="25"/>
      <c r="J343" s="25"/>
      <c r="K343" s="25"/>
      <c r="L343" s="25"/>
      <c r="M343" s="25"/>
      <c r="N343" s="25"/>
      <c r="O343" s="25"/>
      <c r="P343" s="25"/>
      <c r="Q343" s="25"/>
      <c r="R343" s="25"/>
      <c r="S343" s="25"/>
      <c r="T343" s="25"/>
      <c r="U343" s="25"/>
      <c r="V343" s="25"/>
      <c r="W343" s="17" t="s">
        <v>789</v>
      </c>
      <c r="X343" s="17"/>
      <c r="Y343" s="25"/>
      <c r="Z343" s="25"/>
      <c r="AA343" s="25"/>
      <c r="AB343" s="25"/>
      <c r="AC343" s="25"/>
    </row>
    <row r="344" spans="1:29" x14ac:dyDescent="0.3">
      <c r="A344" s="25"/>
      <c r="B344" s="25"/>
      <c r="C344" s="25"/>
      <c r="D344" s="25"/>
      <c r="E344" s="25"/>
      <c r="F344" s="25"/>
      <c r="G344" s="25"/>
      <c r="H344" s="25"/>
      <c r="I344" s="25"/>
      <c r="J344" s="25"/>
      <c r="K344" s="25"/>
      <c r="L344" s="25"/>
      <c r="M344" s="25"/>
      <c r="N344" s="25"/>
      <c r="O344" s="25"/>
      <c r="P344" s="25"/>
      <c r="Q344" s="25"/>
      <c r="R344" s="25"/>
      <c r="S344" s="25"/>
      <c r="T344" s="25"/>
      <c r="U344" s="25"/>
      <c r="V344" s="25"/>
      <c r="W344" s="17" t="s">
        <v>790</v>
      </c>
      <c r="X344" s="17"/>
      <c r="Y344" s="25"/>
      <c r="Z344" s="25"/>
      <c r="AA344" s="25"/>
      <c r="AB344" s="25"/>
      <c r="AC344" s="25"/>
    </row>
    <row r="345" spans="1:29" x14ac:dyDescent="0.3">
      <c r="A345" s="25"/>
      <c r="B345" s="25"/>
      <c r="C345" s="25"/>
      <c r="D345" s="25"/>
      <c r="E345" s="25"/>
      <c r="F345" s="25"/>
      <c r="G345" s="25"/>
      <c r="H345" s="25"/>
      <c r="I345" s="25"/>
      <c r="J345" s="25"/>
      <c r="K345" s="25"/>
      <c r="L345" s="25"/>
      <c r="M345" s="25"/>
      <c r="N345" s="25"/>
      <c r="O345" s="25"/>
      <c r="P345" s="25"/>
      <c r="Q345" s="25"/>
      <c r="R345" s="25"/>
      <c r="S345" s="25"/>
      <c r="T345" s="25"/>
      <c r="U345" s="25"/>
      <c r="V345" s="25"/>
      <c r="W345" s="17" t="s">
        <v>791</v>
      </c>
      <c r="X345" s="17"/>
      <c r="Y345" s="25"/>
      <c r="Z345" s="25"/>
      <c r="AA345" s="25"/>
      <c r="AB345" s="25"/>
      <c r="AC345" s="25"/>
    </row>
    <row r="346" spans="1:29" x14ac:dyDescent="0.3">
      <c r="A346" s="25"/>
      <c r="B346" s="25"/>
      <c r="C346" s="25"/>
      <c r="D346" s="25"/>
      <c r="E346" s="25"/>
      <c r="F346" s="25"/>
      <c r="G346" s="25"/>
      <c r="H346" s="25"/>
      <c r="I346" s="25"/>
      <c r="J346" s="25"/>
      <c r="K346" s="25"/>
      <c r="L346" s="25"/>
      <c r="M346" s="25"/>
      <c r="N346" s="25"/>
      <c r="O346" s="25"/>
      <c r="P346" s="25"/>
      <c r="Q346" s="25"/>
      <c r="R346" s="25"/>
      <c r="S346" s="25"/>
      <c r="T346" s="25"/>
      <c r="U346" s="25"/>
      <c r="V346" s="25"/>
      <c r="W346" s="17" t="s">
        <v>792</v>
      </c>
      <c r="X346" s="17"/>
      <c r="Y346" s="25"/>
      <c r="Z346" s="25"/>
      <c r="AA346" s="25"/>
      <c r="AB346" s="25"/>
      <c r="AC346" s="25"/>
    </row>
    <row r="347" spans="1:29" x14ac:dyDescent="0.3">
      <c r="A347" s="25"/>
      <c r="B347" s="25"/>
      <c r="C347" s="25"/>
      <c r="D347" s="25"/>
      <c r="E347" s="25"/>
      <c r="F347" s="25"/>
      <c r="G347" s="25"/>
      <c r="H347" s="25"/>
      <c r="I347" s="25"/>
      <c r="J347" s="25"/>
      <c r="K347" s="25"/>
      <c r="L347" s="25"/>
      <c r="M347" s="25"/>
      <c r="N347" s="25"/>
      <c r="O347" s="25"/>
      <c r="P347" s="25"/>
      <c r="Q347" s="25"/>
      <c r="R347" s="25"/>
      <c r="S347" s="25"/>
      <c r="T347" s="25"/>
      <c r="U347" s="25"/>
      <c r="V347" s="25"/>
      <c r="W347" s="17" t="s">
        <v>793</v>
      </c>
      <c r="X347" s="17"/>
      <c r="Y347" s="25"/>
      <c r="Z347" s="25"/>
      <c r="AA347" s="25"/>
      <c r="AB347" s="25"/>
      <c r="AC347" s="25"/>
    </row>
    <row r="348" spans="1:29" x14ac:dyDescent="0.3">
      <c r="A348" s="25"/>
      <c r="B348" s="25"/>
      <c r="C348" s="25"/>
      <c r="D348" s="25"/>
      <c r="E348" s="25"/>
      <c r="F348" s="25"/>
      <c r="G348" s="25"/>
      <c r="H348" s="25"/>
      <c r="I348" s="25"/>
      <c r="J348" s="25"/>
      <c r="K348" s="25"/>
      <c r="L348" s="25"/>
      <c r="M348" s="25"/>
      <c r="N348" s="25"/>
      <c r="O348" s="25"/>
      <c r="P348" s="25"/>
      <c r="Q348" s="25"/>
      <c r="R348" s="25"/>
      <c r="S348" s="25"/>
      <c r="T348" s="25"/>
      <c r="U348" s="25"/>
      <c r="V348" s="25"/>
      <c r="W348" s="17" t="s">
        <v>794</v>
      </c>
      <c r="X348" s="17"/>
      <c r="Y348" s="25"/>
      <c r="Z348" s="25"/>
      <c r="AA348" s="25"/>
      <c r="AB348" s="25"/>
      <c r="AC348" s="25"/>
    </row>
    <row r="349" spans="1:29" x14ac:dyDescent="0.3">
      <c r="A349" s="25"/>
      <c r="B349" s="25"/>
      <c r="C349" s="25"/>
      <c r="D349" s="25"/>
      <c r="E349" s="25"/>
      <c r="F349" s="25"/>
      <c r="G349" s="25"/>
      <c r="H349" s="25"/>
      <c r="I349" s="25"/>
      <c r="J349" s="25"/>
      <c r="K349" s="25"/>
      <c r="L349" s="25"/>
      <c r="M349" s="25"/>
      <c r="N349" s="25"/>
      <c r="O349" s="25"/>
      <c r="P349" s="25"/>
      <c r="Q349" s="25"/>
      <c r="R349" s="25"/>
      <c r="S349" s="25"/>
      <c r="T349" s="25"/>
      <c r="U349" s="25"/>
      <c r="V349" s="25"/>
      <c r="W349" s="17" t="s">
        <v>795</v>
      </c>
      <c r="X349" s="17"/>
      <c r="Y349" s="25"/>
      <c r="Z349" s="25"/>
      <c r="AA349" s="25"/>
      <c r="AB349" s="25"/>
      <c r="AC349" s="25"/>
    </row>
    <row r="350" spans="1:29" x14ac:dyDescent="0.3">
      <c r="A350" s="25"/>
      <c r="B350" s="25"/>
      <c r="C350" s="25"/>
      <c r="D350" s="25"/>
      <c r="E350" s="25"/>
      <c r="F350" s="25"/>
      <c r="G350" s="25"/>
      <c r="H350" s="25"/>
      <c r="I350" s="25"/>
      <c r="J350" s="25"/>
      <c r="K350" s="25"/>
      <c r="L350" s="25"/>
      <c r="M350" s="25"/>
      <c r="N350" s="25"/>
      <c r="O350" s="25"/>
      <c r="P350" s="25"/>
      <c r="Q350" s="25"/>
      <c r="R350" s="25"/>
      <c r="S350" s="25"/>
      <c r="T350" s="25"/>
      <c r="U350" s="25"/>
      <c r="V350" s="25"/>
      <c r="W350" s="17" t="s">
        <v>796</v>
      </c>
      <c r="X350" s="17"/>
      <c r="Y350" s="25"/>
      <c r="Z350" s="25"/>
      <c r="AA350" s="25"/>
      <c r="AB350" s="25"/>
      <c r="AC350" s="25"/>
    </row>
    <row r="351" spans="1:29" x14ac:dyDescent="0.3">
      <c r="A351" s="25"/>
      <c r="B351" s="25"/>
      <c r="C351" s="25"/>
      <c r="D351" s="25"/>
      <c r="E351" s="25"/>
      <c r="F351" s="25"/>
      <c r="G351" s="25"/>
      <c r="H351" s="25"/>
      <c r="I351" s="25"/>
      <c r="J351" s="25"/>
      <c r="K351" s="25"/>
      <c r="L351" s="25"/>
      <c r="M351" s="25"/>
      <c r="N351" s="25"/>
      <c r="O351" s="25"/>
      <c r="P351" s="25"/>
      <c r="Q351" s="25"/>
      <c r="R351" s="25"/>
      <c r="S351" s="25"/>
      <c r="T351" s="25"/>
      <c r="U351" s="25"/>
      <c r="V351" s="25"/>
      <c r="W351" s="17" t="s">
        <v>797</v>
      </c>
      <c r="X351" s="17"/>
      <c r="Y351" s="25"/>
      <c r="Z351" s="25"/>
      <c r="AA351" s="25"/>
      <c r="AB351" s="25"/>
      <c r="AC351" s="25"/>
    </row>
    <row r="352" spans="1:29" x14ac:dyDescent="0.3">
      <c r="A352" s="25"/>
      <c r="B352" s="25"/>
      <c r="C352" s="25"/>
      <c r="D352" s="25"/>
      <c r="E352" s="25"/>
      <c r="F352" s="25"/>
      <c r="G352" s="25"/>
      <c r="H352" s="25"/>
      <c r="I352" s="25"/>
      <c r="J352" s="25"/>
      <c r="K352" s="25"/>
      <c r="L352" s="25"/>
      <c r="M352" s="25"/>
      <c r="N352" s="25"/>
      <c r="O352" s="25"/>
      <c r="P352" s="25"/>
      <c r="Q352" s="25"/>
      <c r="R352" s="25"/>
      <c r="S352" s="25"/>
      <c r="T352" s="25"/>
      <c r="U352" s="25"/>
      <c r="V352" s="25"/>
      <c r="W352" s="17" t="s">
        <v>798</v>
      </c>
      <c r="X352" s="17"/>
      <c r="Y352" s="25"/>
      <c r="Z352" s="25"/>
      <c r="AA352" s="25"/>
      <c r="AB352" s="25"/>
      <c r="AC352" s="25"/>
    </row>
    <row r="353" spans="1:29" x14ac:dyDescent="0.3">
      <c r="A353" s="25"/>
      <c r="B353" s="25"/>
      <c r="C353" s="25"/>
      <c r="D353" s="25"/>
      <c r="E353" s="25"/>
      <c r="F353" s="25"/>
      <c r="G353" s="25"/>
      <c r="H353" s="25"/>
      <c r="I353" s="25"/>
      <c r="J353" s="25"/>
      <c r="K353" s="25"/>
      <c r="L353" s="25"/>
      <c r="M353" s="25"/>
      <c r="N353" s="25"/>
      <c r="O353" s="25"/>
      <c r="P353" s="25"/>
      <c r="Q353" s="25"/>
      <c r="R353" s="25"/>
      <c r="S353" s="25"/>
      <c r="T353" s="25"/>
      <c r="U353" s="25"/>
      <c r="V353" s="25"/>
      <c r="W353" s="17" t="s">
        <v>799</v>
      </c>
      <c r="X353" s="17"/>
      <c r="Y353" s="25"/>
      <c r="Z353" s="25"/>
      <c r="AA353" s="25"/>
      <c r="AB353" s="25"/>
      <c r="AC353" s="25"/>
    </row>
    <row r="354" spans="1:29" x14ac:dyDescent="0.3">
      <c r="A354" s="25"/>
      <c r="B354" s="25"/>
      <c r="C354" s="25"/>
      <c r="D354" s="25"/>
      <c r="E354" s="25"/>
      <c r="F354" s="25"/>
      <c r="G354" s="25"/>
      <c r="H354" s="25"/>
      <c r="I354" s="25"/>
      <c r="J354" s="25"/>
      <c r="K354" s="25"/>
      <c r="L354" s="25"/>
      <c r="M354" s="25"/>
      <c r="N354" s="25"/>
      <c r="O354" s="25"/>
      <c r="P354" s="25"/>
      <c r="Q354" s="25"/>
      <c r="R354" s="25"/>
      <c r="S354" s="25"/>
      <c r="T354" s="25"/>
      <c r="U354" s="25"/>
      <c r="V354" s="25"/>
      <c r="W354" s="17" t="s">
        <v>800</v>
      </c>
      <c r="X354" s="17"/>
      <c r="Y354" s="25"/>
      <c r="Z354" s="25"/>
      <c r="AA354" s="25"/>
      <c r="AB354" s="25"/>
      <c r="AC354" s="25"/>
    </row>
    <row r="355" spans="1:29" x14ac:dyDescent="0.3">
      <c r="A355" s="25"/>
      <c r="B355" s="25"/>
      <c r="C355" s="25"/>
      <c r="D355" s="25"/>
      <c r="E355" s="25"/>
      <c r="F355" s="25"/>
      <c r="G355" s="25"/>
      <c r="H355" s="25"/>
      <c r="I355" s="25"/>
      <c r="J355" s="25"/>
      <c r="K355" s="25"/>
      <c r="L355" s="25"/>
      <c r="M355" s="25"/>
      <c r="N355" s="25"/>
      <c r="O355" s="25"/>
      <c r="P355" s="25"/>
      <c r="Q355" s="25"/>
      <c r="R355" s="25"/>
      <c r="S355" s="25"/>
      <c r="T355" s="25"/>
      <c r="U355" s="25"/>
      <c r="V355" s="25"/>
      <c r="W355" s="17" t="s">
        <v>801</v>
      </c>
      <c r="X355" s="17"/>
      <c r="Y355" s="25"/>
      <c r="Z355" s="25"/>
      <c r="AA355" s="25"/>
      <c r="AB355" s="25"/>
      <c r="AC355" s="25"/>
    </row>
    <row r="356" spans="1:29" x14ac:dyDescent="0.3">
      <c r="A356" s="25"/>
      <c r="B356" s="25"/>
      <c r="C356" s="25"/>
      <c r="D356" s="25"/>
      <c r="E356" s="25"/>
      <c r="F356" s="25"/>
      <c r="G356" s="25"/>
      <c r="H356" s="25"/>
      <c r="I356" s="25"/>
      <c r="J356" s="25"/>
      <c r="K356" s="25"/>
      <c r="L356" s="25"/>
      <c r="M356" s="25"/>
      <c r="N356" s="25"/>
      <c r="O356" s="25"/>
      <c r="P356" s="25"/>
      <c r="Q356" s="25"/>
      <c r="R356" s="25"/>
      <c r="S356" s="25"/>
      <c r="T356" s="25"/>
      <c r="U356" s="25"/>
      <c r="V356" s="25"/>
      <c r="W356" s="17" t="s">
        <v>802</v>
      </c>
      <c r="X356" s="17"/>
      <c r="Y356" s="25"/>
      <c r="Z356" s="25"/>
      <c r="AA356" s="25"/>
      <c r="AB356" s="25"/>
      <c r="AC356" s="25"/>
    </row>
    <row r="357" spans="1:29" x14ac:dyDescent="0.3">
      <c r="A357" s="25"/>
      <c r="B357" s="25"/>
      <c r="C357" s="25"/>
      <c r="D357" s="25"/>
      <c r="E357" s="25"/>
      <c r="F357" s="25"/>
      <c r="G357" s="25"/>
      <c r="H357" s="25"/>
      <c r="I357" s="25"/>
      <c r="J357" s="25"/>
      <c r="K357" s="25"/>
      <c r="L357" s="25"/>
      <c r="M357" s="25"/>
      <c r="N357" s="25"/>
      <c r="O357" s="25"/>
      <c r="P357" s="25"/>
      <c r="Q357" s="25"/>
      <c r="R357" s="25"/>
      <c r="S357" s="25"/>
      <c r="T357" s="25"/>
      <c r="U357" s="25"/>
      <c r="V357" s="25"/>
      <c r="W357" s="17" t="s">
        <v>803</v>
      </c>
      <c r="X357" s="17"/>
      <c r="Y357" s="25"/>
      <c r="Z357" s="25"/>
      <c r="AA357" s="25"/>
      <c r="AB357" s="25"/>
      <c r="AC357" s="25"/>
    </row>
    <row r="358" spans="1:29" x14ac:dyDescent="0.3">
      <c r="A358" s="25"/>
      <c r="B358" s="25"/>
      <c r="C358" s="25"/>
      <c r="D358" s="25"/>
      <c r="E358" s="25"/>
      <c r="F358" s="25"/>
      <c r="G358" s="25"/>
      <c r="H358" s="25"/>
      <c r="I358" s="25"/>
      <c r="J358" s="25"/>
      <c r="K358" s="25"/>
      <c r="L358" s="25"/>
      <c r="M358" s="25"/>
      <c r="N358" s="25"/>
      <c r="O358" s="25"/>
      <c r="P358" s="25"/>
      <c r="Q358" s="25"/>
      <c r="R358" s="25"/>
      <c r="S358" s="25"/>
      <c r="T358" s="25"/>
      <c r="U358" s="25"/>
      <c r="V358" s="25"/>
      <c r="W358" s="17" t="s">
        <v>804</v>
      </c>
      <c r="X358" s="17"/>
      <c r="Y358" s="25"/>
      <c r="Z358" s="25"/>
      <c r="AA358" s="25"/>
      <c r="AB358" s="25"/>
      <c r="AC358" s="25"/>
    </row>
    <row r="359" spans="1:29" x14ac:dyDescent="0.3">
      <c r="A359" s="25"/>
      <c r="B359" s="25"/>
      <c r="C359" s="25"/>
      <c r="D359" s="25"/>
      <c r="E359" s="25"/>
      <c r="F359" s="25"/>
      <c r="G359" s="25"/>
      <c r="H359" s="25"/>
      <c r="I359" s="25"/>
      <c r="J359" s="25"/>
      <c r="K359" s="25"/>
      <c r="L359" s="25"/>
      <c r="M359" s="25"/>
      <c r="N359" s="25"/>
      <c r="O359" s="25"/>
      <c r="P359" s="25"/>
      <c r="Q359" s="25"/>
      <c r="R359" s="25"/>
      <c r="S359" s="25"/>
      <c r="T359" s="25"/>
      <c r="U359" s="25"/>
      <c r="V359" s="25"/>
      <c r="W359" s="17" t="s">
        <v>805</v>
      </c>
      <c r="X359" s="17"/>
      <c r="Y359" s="25"/>
      <c r="Z359" s="25"/>
      <c r="AA359" s="25"/>
      <c r="AB359" s="25"/>
      <c r="AC359" s="25"/>
    </row>
    <row r="360" spans="1:29" x14ac:dyDescent="0.3">
      <c r="A360" s="25"/>
      <c r="B360" s="25"/>
      <c r="C360" s="25"/>
      <c r="D360" s="25"/>
      <c r="E360" s="25"/>
      <c r="F360" s="25"/>
      <c r="G360" s="25"/>
      <c r="H360" s="25"/>
      <c r="I360" s="25"/>
      <c r="J360" s="25"/>
      <c r="K360" s="25"/>
      <c r="L360" s="25"/>
      <c r="M360" s="25"/>
      <c r="N360" s="25"/>
      <c r="O360" s="25"/>
      <c r="P360" s="25"/>
      <c r="Q360" s="25"/>
      <c r="R360" s="25"/>
      <c r="S360" s="25"/>
      <c r="T360" s="25"/>
      <c r="U360" s="25"/>
      <c r="V360" s="25"/>
      <c r="W360" s="17" t="s">
        <v>806</v>
      </c>
      <c r="X360" s="17"/>
      <c r="Y360" s="25"/>
      <c r="Z360" s="25"/>
      <c r="AA360" s="25"/>
      <c r="AB360" s="25"/>
      <c r="AC360" s="25"/>
    </row>
    <row r="361" spans="1:29" x14ac:dyDescent="0.3">
      <c r="A361" s="25"/>
      <c r="B361" s="25"/>
      <c r="C361" s="25"/>
      <c r="D361" s="25"/>
      <c r="E361" s="25"/>
      <c r="F361" s="25"/>
      <c r="G361" s="25"/>
      <c r="H361" s="25"/>
      <c r="I361" s="25"/>
      <c r="J361" s="25"/>
      <c r="K361" s="25"/>
      <c r="L361" s="25"/>
      <c r="M361" s="25"/>
      <c r="N361" s="25"/>
      <c r="O361" s="25"/>
      <c r="P361" s="25"/>
      <c r="Q361" s="25"/>
      <c r="R361" s="25"/>
      <c r="S361" s="25"/>
      <c r="T361" s="25"/>
      <c r="U361" s="25"/>
      <c r="V361" s="25"/>
      <c r="W361" s="17" t="s">
        <v>807</v>
      </c>
      <c r="X361" s="17"/>
      <c r="Y361" s="25"/>
      <c r="Z361" s="25"/>
      <c r="AA361" s="25"/>
      <c r="AB361" s="25"/>
      <c r="AC361" s="25"/>
    </row>
    <row r="362" spans="1:29" x14ac:dyDescent="0.3">
      <c r="A362" s="25"/>
      <c r="B362" s="25"/>
      <c r="C362" s="25"/>
      <c r="D362" s="25"/>
      <c r="E362" s="25"/>
      <c r="F362" s="25"/>
      <c r="G362" s="25"/>
      <c r="H362" s="25"/>
      <c r="I362" s="25"/>
      <c r="J362" s="25"/>
      <c r="K362" s="25"/>
      <c r="L362" s="25"/>
      <c r="M362" s="25"/>
      <c r="N362" s="25"/>
      <c r="O362" s="25"/>
      <c r="P362" s="25"/>
      <c r="Q362" s="25"/>
      <c r="R362" s="25"/>
      <c r="S362" s="25"/>
      <c r="T362" s="25"/>
      <c r="U362" s="25"/>
      <c r="V362" s="25"/>
      <c r="W362" s="17" t="s">
        <v>808</v>
      </c>
      <c r="X362" s="17"/>
      <c r="Y362" s="25"/>
      <c r="Z362" s="25"/>
      <c r="AA362" s="25"/>
      <c r="AB362" s="25"/>
      <c r="AC362" s="25"/>
    </row>
    <row r="363" spans="1:29" x14ac:dyDescent="0.3">
      <c r="A363" s="25"/>
      <c r="B363" s="25"/>
      <c r="C363" s="25"/>
      <c r="D363" s="25"/>
      <c r="E363" s="25"/>
      <c r="F363" s="25"/>
      <c r="G363" s="25"/>
      <c r="H363" s="25"/>
      <c r="I363" s="25"/>
      <c r="J363" s="25"/>
      <c r="K363" s="25"/>
      <c r="L363" s="25"/>
      <c r="M363" s="25"/>
      <c r="N363" s="25"/>
      <c r="O363" s="25"/>
      <c r="P363" s="25"/>
      <c r="Q363" s="25"/>
      <c r="R363" s="25"/>
      <c r="S363" s="25"/>
      <c r="T363" s="25"/>
      <c r="U363" s="25"/>
      <c r="V363" s="25"/>
      <c r="W363" s="17" t="s">
        <v>809</v>
      </c>
      <c r="X363" s="17"/>
      <c r="Y363" s="25"/>
      <c r="Z363" s="25"/>
      <c r="AA363" s="25"/>
      <c r="AB363" s="25"/>
      <c r="AC363" s="25"/>
    </row>
    <row r="364" spans="1:29" x14ac:dyDescent="0.3">
      <c r="A364" s="25"/>
      <c r="B364" s="25"/>
      <c r="C364" s="25"/>
      <c r="D364" s="25"/>
      <c r="E364" s="25"/>
      <c r="F364" s="25"/>
      <c r="G364" s="25"/>
      <c r="H364" s="25"/>
      <c r="I364" s="25"/>
      <c r="J364" s="25"/>
      <c r="K364" s="25"/>
      <c r="L364" s="25"/>
      <c r="M364" s="25"/>
      <c r="N364" s="25"/>
      <c r="O364" s="25"/>
      <c r="P364" s="25"/>
      <c r="Q364" s="25"/>
      <c r="R364" s="25"/>
      <c r="S364" s="25"/>
      <c r="T364" s="25"/>
      <c r="U364" s="25"/>
      <c r="V364" s="25"/>
      <c r="W364" s="17" t="s">
        <v>810</v>
      </c>
      <c r="X364" s="17"/>
      <c r="Y364" s="25"/>
      <c r="Z364" s="25"/>
      <c r="AA364" s="25"/>
      <c r="AB364" s="25"/>
      <c r="AC364" s="25"/>
    </row>
    <row r="365" spans="1:29" x14ac:dyDescent="0.3">
      <c r="A365" s="25"/>
      <c r="B365" s="25"/>
      <c r="C365" s="25"/>
      <c r="D365" s="25"/>
      <c r="E365" s="25"/>
      <c r="F365" s="25"/>
      <c r="G365" s="25"/>
      <c r="H365" s="25"/>
      <c r="I365" s="25"/>
      <c r="J365" s="25"/>
      <c r="K365" s="25"/>
      <c r="L365" s="25"/>
      <c r="M365" s="25"/>
      <c r="N365" s="25"/>
      <c r="O365" s="25"/>
      <c r="P365" s="25"/>
      <c r="Q365" s="25"/>
      <c r="R365" s="25"/>
      <c r="S365" s="25"/>
      <c r="T365" s="25"/>
      <c r="U365" s="25"/>
      <c r="V365" s="25"/>
      <c r="W365" s="17" t="s">
        <v>811</v>
      </c>
      <c r="X365" s="17"/>
      <c r="Y365" s="25"/>
      <c r="Z365" s="25"/>
      <c r="AA365" s="25"/>
      <c r="AB365" s="25"/>
      <c r="AC365" s="25"/>
    </row>
    <row r="366" spans="1:29" x14ac:dyDescent="0.3">
      <c r="A366" s="25"/>
      <c r="B366" s="25"/>
      <c r="C366" s="25"/>
      <c r="D366" s="25"/>
      <c r="E366" s="25"/>
      <c r="F366" s="25"/>
      <c r="G366" s="25"/>
      <c r="H366" s="25"/>
      <c r="I366" s="25"/>
      <c r="J366" s="25"/>
      <c r="K366" s="25"/>
      <c r="L366" s="25"/>
      <c r="M366" s="25"/>
      <c r="N366" s="25"/>
      <c r="O366" s="25"/>
      <c r="P366" s="25"/>
      <c r="Q366" s="25"/>
      <c r="R366" s="25"/>
      <c r="S366" s="25"/>
      <c r="T366" s="25"/>
      <c r="U366" s="25"/>
      <c r="V366" s="25"/>
      <c r="W366" s="17" t="s">
        <v>812</v>
      </c>
      <c r="X366" s="17"/>
      <c r="Y366" s="25"/>
      <c r="Z366" s="25"/>
      <c r="AA366" s="25"/>
      <c r="AB366" s="25"/>
      <c r="AC366" s="25"/>
    </row>
    <row r="367" spans="1:29" x14ac:dyDescent="0.3">
      <c r="A367" s="25"/>
      <c r="B367" s="25"/>
      <c r="C367" s="25"/>
      <c r="D367" s="25"/>
      <c r="E367" s="25"/>
      <c r="F367" s="25"/>
      <c r="G367" s="25"/>
      <c r="H367" s="25"/>
      <c r="I367" s="25"/>
      <c r="J367" s="25"/>
      <c r="K367" s="25"/>
      <c r="L367" s="25"/>
      <c r="M367" s="25"/>
      <c r="N367" s="25"/>
      <c r="O367" s="25"/>
      <c r="P367" s="25"/>
      <c r="Q367" s="25"/>
      <c r="R367" s="25"/>
      <c r="S367" s="25"/>
      <c r="T367" s="25"/>
      <c r="U367" s="25"/>
      <c r="V367" s="25"/>
      <c r="W367" s="17" t="s">
        <v>813</v>
      </c>
      <c r="X367" s="17"/>
      <c r="Y367" s="25"/>
      <c r="Z367" s="25"/>
      <c r="AA367" s="25"/>
      <c r="AB367" s="25"/>
      <c r="AC367" s="25"/>
    </row>
    <row r="368" spans="1:29" x14ac:dyDescent="0.3">
      <c r="A368" s="25"/>
      <c r="B368" s="25"/>
      <c r="C368" s="25"/>
      <c r="D368" s="25"/>
      <c r="E368" s="25"/>
      <c r="F368" s="25"/>
      <c r="G368" s="25"/>
      <c r="H368" s="25"/>
      <c r="I368" s="25"/>
      <c r="J368" s="25"/>
      <c r="K368" s="25"/>
      <c r="L368" s="25"/>
      <c r="M368" s="25"/>
      <c r="N368" s="25"/>
      <c r="O368" s="25"/>
      <c r="P368" s="25"/>
      <c r="Q368" s="25"/>
      <c r="R368" s="25"/>
      <c r="S368" s="25"/>
      <c r="T368" s="25"/>
      <c r="U368" s="25"/>
      <c r="V368" s="25"/>
      <c r="W368" s="17" t="s">
        <v>814</v>
      </c>
      <c r="X368" s="17"/>
      <c r="Y368" s="25"/>
      <c r="Z368" s="25"/>
      <c r="AA368" s="25"/>
      <c r="AB368" s="25"/>
      <c r="AC368" s="25"/>
    </row>
    <row r="369" spans="1:29" x14ac:dyDescent="0.3">
      <c r="A369" s="25"/>
      <c r="B369" s="25"/>
      <c r="C369" s="25"/>
      <c r="D369" s="25"/>
      <c r="E369" s="25"/>
      <c r="F369" s="25"/>
      <c r="G369" s="25"/>
      <c r="H369" s="25"/>
      <c r="I369" s="25"/>
      <c r="J369" s="25"/>
      <c r="K369" s="25"/>
      <c r="L369" s="25"/>
      <c r="M369" s="25"/>
      <c r="N369" s="25"/>
      <c r="O369" s="25"/>
      <c r="P369" s="25"/>
      <c r="Q369" s="25"/>
      <c r="R369" s="25"/>
      <c r="S369" s="25"/>
      <c r="T369" s="25"/>
      <c r="U369" s="25"/>
      <c r="V369" s="25"/>
      <c r="W369" s="17" t="s">
        <v>815</v>
      </c>
      <c r="X369" s="17"/>
      <c r="Y369" s="25"/>
      <c r="Z369" s="25"/>
      <c r="AA369" s="25"/>
      <c r="AB369" s="25"/>
      <c r="AC369" s="25"/>
    </row>
    <row r="370" spans="1:29" x14ac:dyDescent="0.3">
      <c r="A370" s="25"/>
      <c r="B370" s="25"/>
      <c r="C370" s="25"/>
      <c r="D370" s="25"/>
      <c r="E370" s="25"/>
      <c r="F370" s="25"/>
      <c r="G370" s="25"/>
      <c r="H370" s="25"/>
      <c r="I370" s="25"/>
      <c r="J370" s="25"/>
      <c r="K370" s="25"/>
      <c r="L370" s="25"/>
      <c r="M370" s="25"/>
      <c r="N370" s="25"/>
      <c r="O370" s="25"/>
      <c r="P370" s="25"/>
      <c r="Q370" s="25"/>
      <c r="R370" s="25"/>
      <c r="S370" s="25"/>
      <c r="T370" s="25"/>
      <c r="U370" s="25"/>
      <c r="V370" s="25"/>
      <c r="W370" s="17" t="s">
        <v>816</v>
      </c>
      <c r="X370" s="17"/>
      <c r="Y370" s="25"/>
      <c r="Z370" s="25"/>
      <c r="AA370" s="25"/>
      <c r="AB370" s="25"/>
      <c r="AC370" s="25"/>
    </row>
    <row r="371" spans="1:29" x14ac:dyDescent="0.3">
      <c r="A371" s="25"/>
      <c r="B371" s="25"/>
      <c r="C371" s="25"/>
      <c r="D371" s="25"/>
      <c r="E371" s="25"/>
      <c r="F371" s="25"/>
      <c r="G371" s="25"/>
      <c r="H371" s="25"/>
      <c r="I371" s="25"/>
      <c r="J371" s="25"/>
      <c r="K371" s="25"/>
      <c r="L371" s="25"/>
      <c r="M371" s="25"/>
      <c r="N371" s="25"/>
      <c r="O371" s="25"/>
      <c r="P371" s="25"/>
      <c r="Q371" s="25"/>
      <c r="R371" s="25"/>
      <c r="S371" s="25"/>
      <c r="T371" s="25"/>
      <c r="U371" s="25"/>
      <c r="V371" s="25"/>
      <c r="W371" s="17" t="s">
        <v>817</v>
      </c>
      <c r="X371" s="17"/>
      <c r="Y371" s="25"/>
      <c r="Z371" s="25"/>
      <c r="AA371" s="25"/>
      <c r="AB371" s="25"/>
      <c r="AC371" s="25"/>
    </row>
    <row r="372" spans="1:29" x14ac:dyDescent="0.3">
      <c r="A372" s="25"/>
      <c r="B372" s="25"/>
      <c r="C372" s="25"/>
      <c r="D372" s="25"/>
      <c r="E372" s="25"/>
      <c r="F372" s="25"/>
      <c r="G372" s="25"/>
      <c r="H372" s="25"/>
      <c r="I372" s="25"/>
      <c r="J372" s="25"/>
      <c r="K372" s="25"/>
      <c r="L372" s="25"/>
      <c r="M372" s="25"/>
      <c r="N372" s="25"/>
      <c r="O372" s="25"/>
      <c r="P372" s="25"/>
      <c r="Q372" s="25"/>
      <c r="R372" s="25"/>
      <c r="S372" s="25"/>
      <c r="T372" s="25"/>
      <c r="U372" s="25"/>
      <c r="V372" s="25"/>
      <c r="W372" s="17" t="s">
        <v>818</v>
      </c>
      <c r="X372" s="17"/>
      <c r="Y372" s="25"/>
      <c r="Z372" s="25"/>
      <c r="AA372" s="25"/>
      <c r="AB372" s="25"/>
      <c r="AC372" s="25"/>
    </row>
    <row r="373" spans="1:29" x14ac:dyDescent="0.3">
      <c r="A373" s="25"/>
      <c r="B373" s="25"/>
      <c r="C373" s="25"/>
      <c r="D373" s="25"/>
      <c r="E373" s="25"/>
      <c r="F373" s="25"/>
      <c r="G373" s="25"/>
      <c r="H373" s="25"/>
      <c r="I373" s="25"/>
      <c r="J373" s="25"/>
      <c r="K373" s="25"/>
      <c r="L373" s="25"/>
      <c r="M373" s="25"/>
      <c r="N373" s="25"/>
      <c r="O373" s="25"/>
      <c r="P373" s="25"/>
      <c r="Q373" s="25"/>
      <c r="R373" s="25"/>
      <c r="S373" s="25"/>
      <c r="T373" s="25"/>
      <c r="U373" s="25"/>
      <c r="V373" s="25"/>
      <c r="W373" s="17" t="s">
        <v>819</v>
      </c>
      <c r="X373" s="17"/>
      <c r="Y373" s="25"/>
      <c r="Z373" s="25"/>
      <c r="AA373" s="25"/>
      <c r="AB373" s="25"/>
      <c r="AC373" s="25"/>
    </row>
    <row r="374" spans="1:29" x14ac:dyDescent="0.3">
      <c r="A374" s="25"/>
      <c r="B374" s="25"/>
      <c r="C374" s="25"/>
      <c r="D374" s="25"/>
      <c r="E374" s="25"/>
      <c r="F374" s="25"/>
      <c r="G374" s="25"/>
      <c r="H374" s="25"/>
      <c r="I374" s="25"/>
      <c r="J374" s="25"/>
      <c r="K374" s="25"/>
      <c r="L374" s="25"/>
      <c r="M374" s="25"/>
      <c r="N374" s="25"/>
      <c r="O374" s="25"/>
      <c r="P374" s="25"/>
      <c r="Q374" s="25"/>
      <c r="R374" s="25"/>
      <c r="S374" s="25"/>
      <c r="T374" s="25"/>
      <c r="U374" s="25"/>
      <c r="V374" s="25"/>
      <c r="W374" s="17" t="s">
        <v>820</v>
      </c>
      <c r="X374" s="17"/>
      <c r="Y374" s="25"/>
      <c r="Z374" s="25"/>
      <c r="AA374" s="25"/>
      <c r="AB374" s="25"/>
      <c r="AC374" s="25"/>
    </row>
    <row r="375" spans="1:29" x14ac:dyDescent="0.3">
      <c r="A375" s="25"/>
      <c r="B375" s="25"/>
      <c r="C375" s="25"/>
      <c r="D375" s="25"/>
      <c r="E375" s="25"/>
      <c r="F375" s="25"/>
      <c r="G375" s="25"/>
      <c r="H375" s="25"/>
      <c r="I375" s="25"/>
      <c r="J375" s="25"/>
      <c r="K375" s="25"/>
      <c r="L375" s="25"/>
      <c r="M375" s="25"/>
      <c r="N375" s="25"/>
      <c r="O375" s="25"/>
      <c r="P375" s="25"/>
      <c r="Q375" s="25"/>
      <c r="R375" s="25"/>
      <c r="S375" s="25"/>
      <c r="T375" s="25"/>
      <c r="U375" s="25"/>
      <c r="V375" s="25"/>
      <c r="W375" s="17" t="s">
        <v>821</v>
      </c>
      <c r="X375" s="17"/>
      <c r="Y375" s="25"/>
      <c r="Z375" s="25"/>
      <c r="AA375" s="25"/>
      <c r="AB375" s="25"/>
      <c r="AC375" s="25"/>
    </row>
    <row r="376" spans="1:29" x14ac:dyDescent="0.3">
      <c r="A376" s="25"/>
      <c r="B376" s="25"/>
      <c r="C376" s="25"/>
      <c r="D376" s="25"/>
      <c r="E376" s="25"/>
      <c r="F376" s="25"/>
      <c r="G376" s="25"/>
      <c r="H376" s="25"/>
      <c r="I376" s="25"/>
      <c r="J376" s="25"/>
      <c r="K376" s="25"/>
      <c r="L376" s="25"/>
      <c r="M376" s="25"/>
      <c r="N376" s="25"/>
      <c r="O376" s="25"/>
      <c r="P376" s="25"/>
      <c r="Q376" s="25"/>
      <c r="R376" s="25"/>
      <c r="S376" s="25"/>
      <c r="T376" s="25"/>
      <c r="U376" s="25"/>
      <c r="V376" s="25"/>
      <c r="W376" s="17" t="s">
        <v>822</v>
      </c>
      <c r="X376" s="17"/>
      <c r="Y376" s="25"/>
      <c r="Z376" s="25"/>
      <c r="AA376" s="25"/>
      <c r="AB376" s="25"/>
      <c r="AC376" s="25"/>
    </row>
    <row r="377" spans="1:29" x14ac:dyDescent="0.3">
      <c r="A377" s="25"/>
      <c r="B377" s="25"/>
      <c r="C377" s="25"/>
      <c r="D377" s="25"/>
      <c r="E377" s="25"/>
      <c r="F377" s="25"/>
      <c r="G377" s="25"/>
      <c r="H377" s="25"/>
      <c r="I377" s="25"/>
      <c r="J377" s="25"/>
      <c r="K377" s="25"/>
      <c r="L377" s="25"/>
      <c r="M377" s="25"/>
      <c r="N377" s="25"/>
      <c r="O377" s="25"/>
      <c r="P377" s="25"/>
      <c r="Q377" s="25"/>
      <c r="R377" s="25"/>
      <c r="S377" s="25"/>
      <c r="T377" s="25"/>
      <c r="U377" s="25"/>
      <c r="V377" s="25"/>
      <c r="W377" s="17" t="s">
        <v>823</v>
      </c>
      <c r="X377" s="17"/>
      <c r="Y377" s="25"/>
      <c r="Z377" s="25"/>
      <c r="AA377" s="25"/>
      <c r="AB377" s="25"/>
      <c r="AC377" s="25"/>
    </row>
    <row r="378" spans="1:29" x14ac:dyDescent="0.3">
      <c r="A378" s="25"/>
      <c r="B378" s="25"/>
      <c r="C378" s="25"/>
      <c r="D378" s="25"/>
      <c r="E378" s="25"/>
      <c r="F378" s="25"/>
      <c r="G378" s="25"/>
      <c r="H378" s="25"/>
      <c r="I378" s="25"/>
      <c r="J378" s="25"/>
      <c r="K378" s="25"/>
      <c r="L378" s="25"/>
      <c r="M378" s="25"/>
      <c r="N378" s="25"/>
      <c r="O378" s="25"/>
      <c r="P378" s="25"/>
      <c r="Q378" s="25"/>
      <c r="R378" s="25"/>
      <c r="S378" s="25"/>
      <c r="T378" s="25"/>
      <c r="U378" s="25"/>
      <c r="V378" s="25"/>
      <c r="W378" s="17" t="s">
        <v>824</v>
      </c>
      <c r="X378" s="17"/>
      <c r="Y378" s="25"/>
      <c r="Z378" s="25"/>
      <c r="AA378" s="25"/>
      <c r="AB378" s="25"/>
      <c r="AC378" s="25"/>
    </row>
    <row r="379" spans="1:29" x14ac:dyDescent="0.3">
      <c r="A379" s="25"/>
      <c r="B379" s="25"/>
      <c r="C379" s="25"/>
      <c r="D379" s="25"/>
      <c r="E379" s="25"/>
      <c r="F379" s="25"/>
      <c r="G379" s="25"/>
      <c r="H379" s="25"/>
      <c r="I379" s="25"/>
      <c r="J379" s="25"/>
      <c r="K379" s="25"/>
      <c r="L379" s="25"/>
      <c r="M379" s="25"/>
      <c r="N379" s="25"/>
      <c r="O379" s="25"/>
      <c r="P379" s="25"/>
      <c r="Q379" s="25"/>
      <c r="R379" s="25"/>
      <c r="S379" s="25"/>
      <c r="T379" s="25"/>
      <c r="U379" s="25"/>
      <c r="V379" s="25"/>
      <c r="W379" s="17" t="s">
        <v>825</v>
      </c>
      <c r="X379" s="17"/>
      <c r="Y379" s="25"/>
      <c r="Z379" s="25"/>
      <c r="AA379" s="25"/>
      <c r="AB379" s="25"/>
      <c r="AC379" s="25"/>
    </row>
    <row r="380" spans="1:29" x14ac:dyDescent="0.3">
      <c r="A380" s="25"/>
      <c r="B380" s="25"/>
      <c r="C380" s="25"/>
      <c r="D380" s="25"/>
      <c r="E380" s="25"/>
      <c r="F380" s="25"/>
      <c r="G380" s="25"/>
      <c r="H380" s="25"/>
      <c r="I380" s="25"/>
      <c r="J380" s="25"/>
      <c r="K380" s="25"/>
      <c r="L380" s="25"/>
      <c r="M380" s="25"/>
      <c r="N380" s="25"/>
      <c r="O380" s="25"/>
      <c r="P380" s="25"/>
      <c r="Q380" s="25"/>
      <c r="R380" s="25"/>
      <c r="S380" s="25"/>
      <c r="T380" s="25"/>
      <c r="U380" s="25"/>
      <c r="V380" s="25"/>
      <c r="W380" s="17" t="s">
        <v>826</v>
      </c>
      <c r="X380" s="17"/>
      <c r="Y380" s="25"/>
      <c r="Z380" s="25"/>
      <c r="AA380" s="25"/>
      <c r="AB380" s="25"/>
      <c r="AC380" s="25"/>
    </row>
    <row r="381" spans="1:29" x14ac:dyDescent="0.3">
      <c r="A381" s="25"/>
      <c r="B381" s="25"/>
      <c r="C381" s="25"/>
      <c r="D381" s="25"/>
      <c r="E381" s="25"/>
      <c r="F381" s="25"/>
      <c r="G381" s="25"/>
      <c r="H381" s="25"/>
      <c r="I381" s="25"/>
      <c r="J381" s="25"/>
      <c r="K381" s="25"/>
      <c r="L381" s="25"/>
      <c r="M381" s="25"/>
      <c r="N381" s="25"/>
      <c r="O381" s="25"/>
      <c r="P381" s="25"/>
      <c r="Q381" s="25"/>
      <c r="R381" s="25"/>
      <c r="S381" s="25"/>
      <c r="T381" s="25"/>
      <c r="U381" s="25"/>
      <c r="V381" s="25"/>
      <c r="W381" s="17" t="s">
        <v>827</v>
      </c>
      <c r="X381" s="17"/>
      <c r="Y381" s="25"/>
      <c r="Z381" s="25"/>
      <c r="AA381" s="25"/>
      <c r="AB381" s="25"/>
      <c r="AC381" s="25"/>
    </row>
    <row r="382" spans="1:29" x14ac:dyDescent="0.3">
      <c r="A382" s="25"/>
      <c r="B382" s="25"/>
      <c r="C382" s="25"/>
      <c r="D382" s="25"/>
      <c r="E382" s="25"/>
      <c r="F382" s="25"/>
      <c r="G382" s="25"/>
      <c r="H382" s="25"/>
      <c r="I382" s="25"/>
      <c r="J382" s="25"/>
      <c r="K382" s="25"/>
      <c r="L382" s="25"/>
      <c r="M382" s="25"/>
      <c r="N382" s="25"/>
      <c r="O382" s="25"/>
      <c r="P382" s="25"/>
      <c r="Q382" s="25"/>
      <c r="R382" s="25"/>
      <c r="S382" s="25"/>
      <c r="T382" s="25"/>
      <c r="U382" s="25"/>
      <c r="V382" s="25"/>
      <c r="W382" s="17" t="s">
        <v>828</v>
      </c>
      <c r="X382" s="17"/>
      <c r="Y382" s="25"/>
      <c r="Z382" s="25"/>
      <c r="AA382" s="25"/>
      <c r="AB382" s="25"/>
      <c r="AC382" s="25"/>
    </row>
    <row r="383" spans="1:29" x14ac:dyDescent="0.3">
      <c r="A383" s="25"/>
      <c r="B383" s="25"/>
      <c r="C383" s="25"/>
      <c r="D383" s="25"/>
      <c r="E383" s="25"/>
      <c r="F383" s="25"/>
      <c r="G383" s="25"/>
      <c r="H383" s="25"/>
      <c r="I383" s="25"/>
      <c r="J383" s="25"/>
      <c r="K383" s="25"/>
      <c r="L383" s="25"/>
      <c r="M383" s="25"/>
      <c r="N383" s="25"/>
      <c r="O383" s="25"/>
      <c r="P383" s="25"/>
      <c r="Q383" s="25"/>
      <c r="R383" s="25"/>
      <c r="S383" s="25"/>
      <c r="T383" s="25"/>
      <c r="U383" s="25"/>
      <c r="V383" s="25"/>
      <c r="W383" s="17" t="s">
        <v>829</v>
      </c>
      <c r="X383" s="17"/>
      <c r="Y383" s="25"/>
      <c r="Z383" s="25"/>
      <c r="AA383" s="25"/>
      <c r="AB383" s="25"/>
      <c r="AC383" s="25"/>
    </row>
    <row r="384" spans="1:29" x14ac:dyDescent="0.3">
      <c r="A384" s="25"/>
      <c r="B384" s="25"/>
      <c r="C384" s="25"/>
      <c r="D384" s="25"/>
      <c r="E384" s="25"/>
      <c r="F384" s="25"/>
      <c r="G384" s="25"/>
      <c r="H384" s="25"/>
      <c r="I384" s="25"/>
      <c r="J384" s="25"/>
      <c r="K384" s="25"/>
      <c r="L384" s="25"/>
      <c r="M384" s="25"/>
      <c r="N384" s="25"/>
      <c r="O384" s="25"/>
      <c r="P384" s="25"/>
      <c r="Q384" s="25"/>
      <c r="R384" s="25"/>
      <c r="S384" s="25"/>
      <c r="T384" s="25"/>
      <c r="U384" s="25"/>
      <c r="V384" s="25"/>
      <c r="W384" s="17" t="s">
        <v>830</v>
      </c>
      <c r="X384" s="17"/>
      <c r="Y384" s="25"/>
      <c r="Z384" s="25"/>
      <c r="AA384" s="25"/>
      <c r="AB384" s="25"/>
      <c r="AC384" s="25"/>
    </row>
    <row r="385" spans="1:29" x14ac:dyDescent="0.3">
      <c r="A385" s="25"/>
      <c r="B385" s="25"/>
      <c r="C385" s="25"/>
      <c r="D385" s="25"/>
      <c r="E385" s="25"/>
      <c r="F385" s="25"/>
      <c r="G385" s="25"/>
      <c r="H385" s="25"/>
      <c r="I385" s="25"/>
      <c r="J385" s="25"/>
      <c r="K385" s="25"/>
      <c r="L385" s="25"/>
      <c r="M385" s="25"/>
      <c r="N385" s="25"/>
      <c r="O385" s="25"/>
      <c r="P385" s="25"/>
      <c r="Q385" s="25"/>
      <c r="R385" s="25"/>
      <c r="S385" s="25"/>
      <c r="T385" s="25"/>
      <c r="U385" s="25"/>
      <c r="V385" s="25"/>
      <c r="W385" s="17" t="s">
        <v>831</v>
      </c>
      <c r="X385" s="17"/>
      <c r="Y385" s="25"/>
      <c r="Z385" s="25"/>
      <c r="AA385" s="25"/>
      <c r="AB385" s="25"/>
      <c r="AC385" s="25"/>
    </row>
    <row r="386" spans="1:29" x14ac:dyDescent="0.3">
      <c r="A386" s="25"/>
      <c r="B386" s="25"/>
      <c r="C386" s="25"/>
      <c r="D386" s="25"/>
      <c r="E386" s="25"/>
      <c r="F386" s="25"/>
      <c r="G386" s="25"/>
      <c r="H386" s="25"/>
      <c r="I386" s="25"/>
      <c r="J386" s="25"/>
      <c r="K386" s="25"/>
      <c r="L386" s="25"/>
      <c r="M386" s="25"/>
      <c r="N386" s="25"/>
      <c r="O386" s="25"/>
      <c r="P386" s="25"/>
      <c r="Q386" s="25"/>
      <c r="R386" s="25"/>
      <c r="S386" s="25"/>
      <c r="T386" s="25"/>
      <c r="U386" s="25"/>
      <c r="V386" s="25"/>
      <c r="W386" s="17" t="s">
        <v>832</v>
      </c>
      <c r="X386" s="17"/>
      <c r="Y386" s="25"/>
      <c r="Z386" s="25"/>
      <c r="AA386" s="25"/>
      <c r="AB386" s="25"/>
      <c r="AC386" s="25"/>
    </row>
    <row r="387" spans="1:29" x14ac:dyDescent="0.3">
      <c r="A387" s="25"/>
      <c r="B387" s="25"/>
      <c r="C387" s="25"/>
      <c r="D387" s="25"/>
      <c r="E387" s="25"/>
      <c r="F387" s="25"/>
      <c r="G387" s="25"/>
      <c r="H387" s="25"/>
      <c r="I387" s="25"/>
      <c r="J387" s="25"/>
      <c r="K387" s="25"/>
      <c r="L387" s="25"/>
      <c r="M387" s="25"/>
      <c r="N387" s="25"/>
      <c r="O387" s="25"/>
      <c r="P387" s="25"/>
      <c r="Q387" s="25"/>
      <c r="R387" s="25"/>
      <c r="S387" s="25"/>
      <c r="T387" s="25"/>
      <c r="U387" s="25"/>
      <c r="V387" s="25"/>
      <c r="W387" s="17" t="s">
        <v>833</v>
      </c>
      <c r="X387" s="17"/>
      <c r="Y387" s="25"/>
      <c r="Z387" s="25"/>
      <c r="AA387" s="25"/>
      <c r="AB387" s="25"/>
      <c r="AC387" s="25"/>
    </row>
    <row r="388" spans="1:29" x14ac:dyDescent="0.3">
      <c r="A388" s="25"/>
      <c r="B388" s="25"/>
      <c r="C388" s="25"/>
      <c r="D388" s="25"/>
      <c r="E388" s="25"/>
      <c r="F388" s="25"/>
      <c r="G388" s="25"/>
      <c r="H388" s="25"/>
      <c r="I388" s="25"/>
      <c r="J388" s="25"/>
      <c r="K388" s="25"/>
      <c r="L388" s="25"/>
      <c r="M388" s="25"/>
      <c r="N388" s="25"/>
      <c r="O388" s="25"/>
      <c r="P388" s="25"/>
      <c r="Q388" s="25"/>
      <c r="R388" s="25"/>
      <c r="S388" s="25"/>
      <c r="T388" s="25"/>
      <c r="U388" s="25"/>
      <c r="V388" s="25"/>
      <c r="W388" s="17" t="s">
        <v>834</v>
      </c>
      <c r="X388" s="17"/>
      <c r="Y388" s="25"/>
      <c r="Z388" s="25"/>
      <c r="AA388" s="25"/>
      <c r="AB388" s="25"/>
      <c r="AC388" s="25"/>
    </row>
    <row r="389" spans="1:29" x14ac:dyDescent="0.3">
      <c r="A389" s="25"/>
      <c r="B389" s="25"/>
      <c r="C389" s="25"/>
      <c r="D389" s="25"/>
      <c r="E389" s="25"/>
      <c r="F389" s="25"/>
      <c r="G389" s="25"/>
      <c r="H389" s="25"/>
      <c r="I389" s="25"/>
      <c r="J389" s="25"/>
      <c r="K389" s="25"/>
      <c r="L389" s="25"/>
      <c r="M389" s="25"/>
      <c r="N389" s="25"/>
      <c r="O389" s="25"/>
      <c r="P389" s="25"/>
      <c r="Q389" s="25"/>
      <c r="R389" s="25"/>
      <c r="S389" s="25"/>
      <c r="T389" s="25"/>
      <c r="U389" s="25"/>
      <c r="V389" s="25"/>
      <c r="W389" s="17" t="s">
        <v>835</v>
      </c>
      <c r="X389" s="17"/>
      <c r="Y389" s="25"/>
      <c r="Z389" s="25"/>
      <c r="AA389" s="25"/>
      <c r="AB389" s="25"/>
      <c r="AC389" s="25"/>
    </row>
    <row r="390" spans="1:29" x14ac:dyDescent="0.3">
      <c r="A390" s="25"/>
      <c r="B390" s="25"/>
      <c r="C390" s="25"/>
      <c r="D390" s="25"/>
      <c r="E390" s="25"/>
      <c r="F390" s="25"/>
      <c r="G390" s="25"/>
      <c r="H390" s="25"/>
      <c r="I390" s="25"/>
      <c r="J390" s="25"/>
      <c r="K390" s="25"/>
      <c r="L390" s="25"/>
      <c r="M390" s="25"/>
      <c r="N390" s="25"/>
      <c r="O390" s="25"/>
      <c r="P390" s="25"/>
      <c r="Q390" s="25"/>
      <c r="R390" s="25"/>
      <c r="S390" s="25"/>
      <c r="T390" s="25"/>
      <c r="U390" s="25"/>
      <c r="V390" s="25"/>
      <c r="W390" s="17" t="s">
        <v>836</v>
      </c>
      <c r="X390" s="17"/>
      <c r="Y390" s="25"/>
      <c r="Z390" s="25"/>
      <c r="AA390" s="25"/>
      <c r="AB390" s="25"/>
      <c r="AC390" s="25"/>
    </row>
    <row r="391" spans="1:29" x14ac:dyDescent="0.3">
      <c r="A391" s="25"/>
      <c r="B391" s="25"/>
      <c r="C391" s="25"/>
      <c r="D391" s="25"/>
      <c r="E391" s="25"/>
      <c r="F391" s="25"/>
      <c r="G391" s="25"/>
      <c r="H391" s="25"/>
      <c r="I391" s="25"/>
      <c r="J391" s="25"/>
      <c r="K391" s="25"/>
      <c r="L391" s="25"/>
      <c r="M391" s="25"/>
      <c r="N391" s="25"/>
      <c r="O391" s="25"/>
      <c r="P391" s="25"/>
      <c r="Q391" s="25"/>
      <c r="R391" s="25"/>
      <c r="S391" s="25"/>
      <c r="T391" s="25"/>
      <c r="U391" s="25"/>
      <c r="V391" s="25"/>
      <c r="W391" s="17" t="s">
        <v>837</v>
      </c>
      <c r="X391" s="17"/>
      <c r="Y391" s="25"/>
      <c r="Z391" s="25"/>
      <c r="AA391" s="25"/>
      <c r="AB391" s="25"/>
      <c r="AC391" s="25"/>
    </row>
    <row r="392" spans="1:29" x14ac:dyDescent="0.3">
      <c r="A392" s="25"/>
      <c r="B392" s="25"/>
      <c r="C392" s="25"/>
      <c r="D392" s="25"/>
      <c r="E392" s="25"/>
      <c r="F392" s="25"/>
      <c r="G392" s="25"/>
      <c r="H392" s="25"/>
      <c r="I392" s="25"/>
      <c r="J392" s="25"/>
      <c r="K392" s="25"/>
      <c r="L392" s="25"/>
      <c r="M392" s="25"/>
      <c r="N392" s="25"/>
      <c r="O392" s="25"/>
      <c r="P392" s="25"/>
      <c r="Q392" s="25"/>
      <c r="R392" s="25"/>
      <c r="S392" s="25"/>
      <c r="T392" s="25"/>
      <c r="U392" s="25"/>
      <c r="V392" s="25"/>
      <c r="W392" s="17" t="s">
        <v>838</v>
      </c>
      <c r="X392" s="17"/>
      <c r="Y392" s="25"/>
      <c r="Z392" s="25"/>
      <c r="AA392" s="25"/>
      <c r="AB392" s="25"/>
      <c r="AC392" s="25"/>
    </row>
    <row r="393" spans="1:29" x14ac:dyDescent="0.3">
      <c r="A393" s="25"/>
      <c r="B393" s="25"/>
      <c r="C393" s="25"/>
      <c r="D393" s="25"/>
      <c r="E393" s="25"/>
      <c r="F393" s="25"/>
      <c r="G393" s="25"/>
      <c r="H393" s="25"/>
      <c r="I393" s="25"/>
      <c r="J393" s="25"/>
      <c r="K393" s="25"/>
      <c r="L393" s="25"/>
      <c r="M393" s="25"/>
      <c r="N393" s="25"/>
      <c r="O393" s="25"/>
      <c r="P393" s="25"/>
      <c r="Q393" s="25"/>
      <c r="R393" s="25"/>
      <c r="S393" s="25"/>
      <c r="T393" s="25"/>
      <c r="U393" s="25"/>
      <c r="V393" s="25"/>
      <c r="W393" s="17" t="s">
        <v>839</v>
      </c>
      <c r="X393" s="17"/>
      <c r="Y393" s="25"/>
      <c r="Z393" s="25"/>
      <c r="AA393" s="25"/>
      <c r="AB393" s="25"/>
      <c r="AC393" s="25"/>
    </row>
    <row r="394" spans="1:29" x14ac:dyDescent="0.3">
      <c r="A394" s="25"/>
      <c r="B394" s="25"/>
      <c r="C394" s="25"/>
      <c r="D394" s="25"/>
      <c r="E394" s="25"/>
      <c r="F394" s="25"/>
      <c r="G394" s="25"/>
      <c r="H394" s="25"/>
      <c r="I394" s="25"/>
      <c r="J394" s="25"/>
      <c r="K394" s="25"/>
      <c r="L394" s="25"/>
      <c r="M394" s="25"/>
      <c r="N394" s="25"/>
      <c r="O394" s="25"/>
      <c r="P394" s="25"/>
      <c r="Q394" s="25"/>
      <c r="R394" s="25"/>
      <c r="S394" s="25"/>
      <c r="T394" s="25"/>
      <c r="U394" s="25"/>
      <c r="V394" s="25"/>
      <c r="W394" s="17" t="s">
        <v>840</v>
      </c>
      <c r="X394" s="17"/>
      <c r="Y394" s="25"/>
      <c r="Z394" s="25"/>
      <c r="AA394" s="25"/>
      <c r="AB394" s="25"/>
      <c r="AC394" s="25"/>
    </row>
    <row r="395" spans="1:29" x14ac:dyDescent="0.3">
      <c r="A395" s="25"/>
      <c r="B395" s="25"/>
      <c r="C395" s="25"/>
      <c r="D395" s="25"/>
      <c r="E395" s="25"/>
      <c r="F395" s="25"/>
      <c r="G395" s="25"/>
      <c r="H395" s="25"/>
      <c r="I395" s="25"/>
      <c r="J395" s="25"/>
      <c r="K395" s="25"/>
      <c r="L395" s="25"/>
      <c r="M395" s="25"/>
      <c r="N395" s="25"/>
      <c r="O395" s="25"/>
      <c r="P395" s="25"/>
      <c r="Q395" s="25"/>
      <c r="R395" s="25"/>
      <c r="S395" s="25"/>
      <c r="T395" s="25"/>
      <c r="U395" s="25"/>
      <c r="V395" s="25"/>
      <c r="W395" s="17" t="s">
        <v>841</v>
      </c>
      <c r="X395" s="17"/>
      <c r="Y395" s="25"/>
      <c r="Z395" s="25"/>
      <c r="AA395" s="25"/>
      <c r="AB395" s="25"/>
      <c r="AC395" s="25"/>
    </row>
    <row r="396" spans="1:29" x14ac:dyDescent="0.3">
      <c r="A396" s="25"/>
      <c r="B396" s="25"/>
      <c r="C396" s="25"/>
      <c r="D396" s="25"/>
      <c r="E396" s="25"/>
      <c r="F396" s="25"/>
      <c r="G396" s="25"/>
      <c r="H396" s="25"/>
      <c r="I396" s="25"/>
      <c r="J396" s="25"/>
      <c r="K396" s="25"/>
      <c r="L396" s="25"/>
      <c r="M396" s="25"/>
      <c r="N396" s="25"/>
      <c r="O396" s="25"/>
      <c r="P396" s="25"/>
      <c r="Q396" s="25"/>
      <c r="R396" s="25"/>
      <c r="S396" s="25"/>
      <c r="T396" s="25"/>
      <c r="U396" s="25"/>
      <c r="V396" s="25"/>
      <c r="W396" s="17" t="s">
        <v>842</v>
      </c>
      <c r="X396" s="17"/>
      <c r="Y396" s="25"/>
      <c r="Z396" s="25"/>
      <c r="AA396" s="25"/>
      <c r="AB396" s="25"/>
      <c r="AC396" s="25"/>
    </row>
    <row r="397" spans="1:29" x14ac:dyDescent="0.3">
      <c r="A397" s="25"/>
      <c r="B397" s="25"/>
      <c r="C397" s="25"/>
      <c r="D397" s="25"/>
      <c r="E397" s="25"/>
      <c r="F397" s="25"/>
      <c r="G397" s="25"/>
      <c r="H397" s="25"/>
      <c r="I397" s="25"/>
      <c r="J397" s="25"/>
      <c r="K397" s="25"/>
      <c r="L397" s="25"/>
      <c r="M397" s="25"/>
      <c r="N397" s="25"/>
      <c r="O397" s="25"/>
      <c r="P397" s="25"/>
      <c r="Q397" s="25"/>
      <c r="R397" s="25"/>
      <c r="S397" s="25"/>
      <c r="T397" s="25"/>
      <c r="U397" s="25"/>
      <c r="V397" s="25"/>
      <c r="W397" s="17" t="s">
        <v>843</v>
      </c>
      <c r="X397" s="17"/>
      <c r="Y397" s="25"/>
      <c r="Z397" s="25"/>
      <c r="AA397" s="25"/>
      <c r="AB397" s="25"/>
      <c r="AC397" s="25"/>
    </row>
    <row r="398" spans="1:29" x14ac:dyDescent="0.3">
      <c r="A398" s="25"/>
      <c r="B398" s="25"/>
      <c r="C398" s="25"/>
      <c r="D398" s="25"/>
      <c r="E398" s="25"/>
      <c r="F398" s="25"/>
      <c r="G398" s="25"/>
      <c r="H398" s="25"/>
      <c r="I398" s="25"/>
      <c r="J398" s="25"/>
      <c r="K398" s="25"/>
      <c r="L398" s="25"/>
      <c r="M398" s="25"/>
      <c r="N398" s="25"/>
      <c r="O398" s="25"/>
      <c r="P398" s="25"/>
      <c r="Q398" s="25"/>
      <c r="R398" s="25"/>
      <c r="S398" s="25"/>
      <c r="T398" s="25"/>
      <c r="U398" s="25"/>
      <c r="V398" s="25"/>
      <c r="W398" s="17" t="s">
        <v>844</v>
      </c>
      <c r="X398" s="17"/>
      <c r="Y398" s="25"/>
      <c r="Z398" s="25"/>
      <c r="AA398" s="25"/>
      <c r="AB398" s="25"/>
      <c r="AC398" s="25"/>
    </row>
    <row r="399" spans="1:29" x14ac:dyDescent="0.3">
      <c r="A399" s="25"/>
      <c r="B399" s="25"/>
      <c r="C399" s="25"/>
      <c r="D399" s="25"/>
      <c r="E399" s="25"/>
      <c r="F399" s="25"/>
      <c r="G399" s="25"/>
      <c r="H399" s="25"/>
      <c r="I399" s="25"/>
      <c r="J399" s="25"/>
      <c r="K399" s="25"/>
      <c r="L399" s="25"/>
      <c r="M399" s="25"/>
      <c r="N399" s="25"/>
      <c r="O399" s="25"/>
      <c r="P399" s="25"/>
      <c r="Q399" s="25"/>
      <c r="R399" s="25"/>
      <c r="S399" s="25"/>
      <c r="T399" s="25"/>
      <c r="U399" s="25"/>
      <c r="V399" s="25"/>
      <c r="W399" s="17" t="s">
        <v>845</v>
      </c>
      <c r="X399" s="17"/>
      <c r="Y399" s="25"/>
      <c r="Z399" s="25"/>
      <c r="AA399" s="25"/>
      <c r="AB399" s="25"/>
      <c r="AC399" s="25"/>
    </row>
    <row r="400" spans="1:29" x14ac:dyDescent="0.3">
      <c r="A400" s="25"/>
      <c r="B400" s="25"/>
      <c r="C400" s="25"/>
      <c r="D400" s="25"/>
      <c r="E400" s="25"/>
      <c r="F400" s="25"/>
      <c r="G400" s="25"/>
      <c r="H400" s="25"/>
      <c r="I400" s="25"/>
      <c r="J400" s="25"/>
      <c r="K400" s="25"/>
      <c r="L400" s="25"/>
      <c r="M400" s="25"/>
      <c r="N400" s="25"/>
      <c r="O400" s="25"/>
      <c r="P400" s="25"/>
      <c r="Q400" s="25"/>
      <c r="R400" s="25"/>
      <c r="S400" s="25"/>
      <c r="T400" s="25"/>
      <c r="U400" s="25"/>
      <c r="V400" s="25"/>
      <c r="W400" s="17" t="s">
        <v>846</v>
      </c>
      <c r="X400" s="17"/>
      <c r="Y400" s="25"/>
      <c r="Z400" s="25"/>
      <c r="AA400" s="25"/>
      <c r="AB400" s="25"/>
      <c r="AC400" s="25"/>
    </row>
    <row r="401" spans="1:29" x14ac:dyDescent="0.3">
      <c r="A401" s="25"/>
      <c r="B401" s="25"/>
      <c r="C401" s="25"/>
      <c r="D401" s="25"/>
      <c r="E401" s="25"/>
      <c r="F401" s="25"/>
      <c r="G401" s="25"/>
      <c r="H401" s="25"/>
      <c r="I401" s="25"/>
      <c r="J401" s="25"/>
      <c r="K401" s="25"/>
      <c r="L401" s="25"/>
      <c r="M401" s="25"/>
      <c r="N401" s="25"/>
      <c r="O401" s="25"/>
      <c r="P401" s="25"/>
      <c r="Q401" s="25"/>
      <c r="R401" s="25"/>
      <c r="S401" s="25"/>
      <c r="T401" s="25"/>
      <c r="U401" s="25"/>
      <c r="V401" s="25"/>
      <c r="W401" s="17" t="s">
        <v>847</v>
      </c>
      <c r="X401" s="17"/>
      <c r="Y401" s="25"/>
      <c r="Z401" s="25"/>
      <c r="AA401" s="25"/>
      <c r="AB401" s="25"/>
      <c r="AC401" s="25"/>
    </row>
    <row r="402" spans="1:29" x14ac:dyDescent="0.3">
      <c r="A402" s="25"/>
      <c r="B402" s="25"/>
      <c r="C402" s="25"/>
      <c r="D402" s="25"/>
      <c r="E402" s="25"/>
      <c r="F402" s="25"/>
      <c r="G402" s="25"/>
      <c r="H402" s="25"/>
      <c r="I402" s="25"/>
      <c r="J402" s="25"/>
      <c r="K402" s="25"/>
      <c r="L402" s="25"/>
      <c r="M402" s="25"/>
      <c r="N402" s="25"/>
      <c r="O402" s="25"/>
      <c r="P402" s="25"/>
      <c r="Q402" s="25"/>
      <c r="R402" s="25"/>
      <c r="S402" s="25"/>
      <c r="T402" s="25"/>
      <c r="U402" s="25"/>
      <c r="V402" s="25"/>
      <c r="W402" s="17" t="s">
        <v>848</v>
      </c>
      <c r="X402" s="17"/>
      <c r="Y402" s="25"/>
      <c r="Z402" s="25"/>
      <c r="AA402" s="25"/>
      <c r="AB402" s="25"/>
      <c r="AC402" s="25"/>
    </row>
    <row r="403" spans="1:29" x14ac:dyDescent="0.3">
      <c r="A403" s="25"/>
      <c r="B403" s="25"/>
      <c r="C403" s="25"/>
      <c r="D403" s="25"/>
      <c r="E403" s="25"/>
      <c r="F403" s="25"/>
      <c r="G403" s="25"/>
      <c r="H403" s="25"/>
      <c r="I403" s="25"/>
      <c r="J403" s="25"/>
      <c r="K403" s="25"/>
      <c r="L403" s="25"/>
      <c r="M403" s="25"/>
      <c r="N403" s="25"/>
      <c r="O403" s="25"/>
      <c r="P403" s="25"/>
      <c r="Q403" s="25"/>
      <c r="R403" s="25"/>
      <c r="S403" s="25"/>
      <c r="T403" s="25"/>
      <c r="U403" s="25"/>
      <c r="V403" s="25"/>
      <c r="W403" s="17" t="s">
        <v>849</v>
      </c>
      <c r="X403" s="17"/>
      <c r="Y403" s="25"/>
      <c r="Z403" s="25"/>
      <c r="AA403" s="25"/>
      <c r="AB403" s="25"/>
      <c r="AC403" s="25"/>
    </row>
    <row r="404" spans="1:29" x14ac:dyDescent="0.3">
      <c r="A404" s="25"/>
      <c r="B404" s="25"/>
      <c r="C404" s="25"/>
      <c r="D404" s="25"/>
      <c r="E404" s="25"/>
      <c r="F404" s="25"/>
      <c r="G404" s="25"/>
      <c r="H404" s="25"/>
      <c r="I404" s="25"/>
      <c r="J404" s="25"/>
      <c r="K404" s="25"/>
      <c r="L404" s="25"/>
      <c r="M404" s="25"/>
      <c r="N404" s="25"/>
      <c r="O404" s="25"/>
      <c r="P404" s="25"/>
      <c r="Q404" s="25"/>
      <c r="R404" s="25"/>
      <c r="S404" s="25"/>
      <c r="T404" s="25"/>
      <c r="U404" s="25"/>
      <c r="V404" s="25"/>
      <c r="W404" s="17" t="s">
        <v>850</v>
      </c>
      <c r="X404" s="17"/>
      <c r="Y404" s="25"/>
      <c r="Z404" s="25"/>
      <c r="AA404" s="25"/>
      <c r="AB404" s="25"/>
      <c r="AC404" s="25"/>
    </row>
    <row r="405" spans="1:29" x14ac:dyDescent="0.3">
      <c r="A405" s="25"/>
      <c r="B405" s="25"/>
      <c r="C405" s="25"/>
      <c r="D405" s="25"/>
      <c r="E405" s="25"/>
      <c r="F405" s="25"/>
      <c r="G405" s="25"/>
      <c r="H405" s="25"/>
      <c r="I405" s="25"/>
      <c r="J405" s="25"/>
      <c r="K405" s="25"/>
      <c r="L405" s="25"/>
      <c r="M405" s="25"/>
      <c r="N405" s="25"/>
      <c r="O405" s="25"/>
      <c r="P405" s="25"/>
      <c r="Q405" s="25"/>
      <c r="R405" s="25"/>
      <c r="S405" s="25"/>
      <c r="T405" s="25"/>
      <c r="U405" s="25"/>
      <c r="V405" s="25"/>
      <c r="W405" s="17" t="s">
        <v>851</v>
      </c>
      <c r="X405" s="17"/>
      <c r="Y405" s="25"/>
      <c r="Z405" s="25"/>
      <c r="AA405" s="25"/>
      <c r="AB405" s="25"/>
      <c r="AC405" s="25"/>
    </row>
    <row r="406" spans="1:29" x14ac:dyDescent="0.3">
      <c r="A406" s="25"/>
      <c r="B406" s="25"/>
      <c r="C406" s="25"/>
      <c r="D406" s="25"/>
      <c r="E406" s="25"/>
      <c r="F406" s="25"/>
      <c r="G406" s="25"/>
      <c r="H406" s="25"/>
      <c r="I406" s="25"/>
      <c r="J406" s="25"/>
      <c r="K406" s="25"/>
      <c r="L406" s="25"/>
      <c r="M406" s="25"/>
      <c r="N406" s="25"/>
      <c r="O406" s="25"/>
      <c r="P406" s="25"/>
      <c r="Q406" s="25"/>
      <c r="R406" s="25"/>
      <c r="S406" s="25"/>
      <c r="T406" s="25"/>
      <c r="U406" s="25"/>
      <c r="V406" s="25"/>
      <c r="W406" s="17" t="s">
        <v>852</v>
      </c>
      <c r="X406" s="17"/>
      <c r="Y406" s="25"/>
      <c r="Z406" s="25"/>
      <c r="AA406" s="25"/>
      <c r="AB406" s="25"/>
      <c r="AC406" s="25"/>
    </row>
    <row r="407" spans="1:29" x14ac:dyDescent="0.3">
      <c r="A407" s="25"/>
      <c r="B407" s="25"/>
      <c r="C407" s="25"/>
      <c r="D407" s="25"/>
      <c r="E407" s="25"/>
      <c r="F407" s="25"/>
      <c r="G407" s="25"/>
      <c r="H407" s="25"/>
      <c r="I407" s="25"/>
      <c r="J407" s="25"/>
      <c r="K407" s="25"/>
      <c r="L407" s="25"/>
      <c r="M407" s="25"/>
      <c r="N407" s="25"/>
      <c r="O407" s="25"/>
      <c r="P407" s="25"/>
      <c r="Q407" s="25"/>
      <c r="R407" s="25"/>
      <c r="S407" s="25"/>
      <c r="T407" s="25"/>
      <c r="U407" s="25"/>
      <c r="V407" s="25"/>
      <c r="W407" s="17" t="s">
        <v>853</v>
      </c>
      <c r="X407" s="17"/>
      <c r="Y407" s="25"/>
      <c r="Z407" s="25"/>
      <c r="AA407" s="25"/>
      <c r="AB407" s="25"/>
      <c r="AC407" s="25"/>
    </row>
    <row r="408" spans="1:29" x14ac:dyDescent="0.3">
      <c r="A408" s="25"/>
      <c r="B408" s="25"/>
      <c r="C408" s="25"/>
      <c r="D408" s="25"/>
      <c r="E408" s="25"/>
      <c r="F408" s="25"/>
      <c r="G408" s="25"/>
      <c r="H408" s="25"/>
      <c r="I408" s="25"/>
      <c r="J408" s="25"/>
      <c r="K408" s="25"/>
      <c r="L408" s="25"/>
      <c r="M408" s="25"/>
      <c r="N408" s="25"/>
      <c r="O408" s="25"/>
      <c r="P408" s="25"/>
      <c r="Q408" s="25"/>
      <c r="R408" s="25"/>
      <c r="S408" s="25"/>
      <c r="T408" s="25"/>
      <c r="U408" s="25"/>
      <c r="V408" s="25"/>
      <c r="W408" s="17" t="s">
        <v>854</v>
      </c>
      <c r="X408" s="17"/>
      <c r="Y408" s="25"/>
      <c r="Z408" s="25"/>
      <c r="AA408" s="25"/>
      <c r="AB408" s="25"/>
      <c r="AC408" s="25"/>
    </row>
    <row r="409" spans="1:29" x14ac:dyDescent="0.3">
      <c r="A409" s="25"/>
      <c r="B409" s="25"/>
      <c r="C409" s="25"/>
      <c r="D409" s="25"/>
      <c r="E409" s="25"/>
      <c r="F409" s="25"/>
      <c r="G409" s="25"/>
      <c r="H409" s="25"/>
      <c r="I409" s="25"/>
      <c r="J409" s="25"/>
      <c r="K409" s="25"/>
      <c r="L409" s="25"/>
      <c r="M409" s="25"/>
      <c r="N409" s="25"/>
      <c r="O409" s="25"/>
      <c r="P409" s="25"/>
      <c r="Q409" s="25"/>
      <c r="R409" s="25"/>
      <c r="S409" s="25"/>
      <c r="T409" s="25"/>
      <c r="U409" s="25"/>
      <c r="V409" s="25"/>
      <c r="W409" s="17" t="s">
        <v>855</v>
      </c>
      <c r="X409" s="17"/>
      <c r="Y409" s="25"/>
      <c r="Z409" s="25"/>
      <c r="AA409" s="25"/>
      <c r="AB409" s="25"/>
      <c r="AC409" s="25"/>
    </row>
    <row r="410" spans="1:29" x14ac:dyDescent="0.3">
      <c r="A410" s="25"/>
      <c r="B410" s="25"/>
      <c r="C410" s="25"/>
      <c r="D410" s="25"/>
      <c r="E410" s="25"/>
      <c r="F410" s="25"/>
      <c r="G410" s="25"/>
      <c r="H410" s="25"/>
      <c r="I410" s="25"/>
      <c r="J410" s="25"/>
      <c r="K410" s="25"/>
      <c r="L410" s="25"/>
      <c r="M410" s="25"/>
      <c r="N410" s="25"/>
      <c r="O410" s="25"/>
      <c r="P410" s="25"/>
      <c r="Q410" s="25"/>
      <c r="R410" s="25"/>
      <c r="S410" s="25"/>
      <c r="T410" s="25"/>
      <c r="U410" s="25"/>
      <c r="V410" s="25"/>
      <c r="W410" s="17" t="s">
        <v>856</v>
      </c>
      <c r="X410" s="17"/>
      <c r="Y410" s="25"/>
      <c r="Z410" s="25"/>
      <c r="AA410" s="25"/>
      <c r="AB410" s="25"/>
      <c r="AC410" s="25"/>
    </row>
    <row r="411" spans="1:29" x14ac:dyDescent="0.3">
      <c r="A411" s="25"/>
      <c r="B411" s="25"/>
      <c r="C411" s="25"/>
      <c r="D411" s="25"/>
      <c r="E411" s="25"/>
      <c r="F411" s="25"/>
      <c r="G411" s="25"/>
      <c r="H411" s="25"/>
      <c r="I411" s="25"/>
      <c r="J411" s="25"/>
      <c r="K411" s="25"/>
      <c r="L411" s="25"/>
      <c r="M411" s="25"/>
      <c r="N411" s="25"/>
      <c r="O411" s="25"/>
      <c r="P411" s="25"/>
      <c r="Q411" s="25"/>
      <c r="R411" s="25"/>
      <c r="S411" s="25"/>
      <c r="T411" s="25"/>
      <c r="U411" s="25"/>
      <c r="V411" s="25"/>
      <c r="W411" s="17" t="s">
        <v>857</v>
      </c>
      <c r="X411" s="17"/>
      <c r="Y411" s="25"/>
      <c r="Z411" s="25"/>
      <c r="AA411" s="25"/>
      <c r="AB411" s="25"/>
      <c r="AC411" s="25"/>
    </row>
    <row r="412" spans="1:29" x14ac:dyDescent="0.3">
      <c r="A412" s="25"/>
      <c r="B412" s="25"/>
      <c r="C412" s="25"/>
      <c r="D412" s="25"/>
      <c r="E412" s="25"/>
      <c r="F412" s="25"/>
      <c r="G412" s="25"/>
      <c r="H412" s="25"/>
      <c r="I412" s="25"/>
      <c r="J412" s="25"/>
      <c r="K412" s="25"/>
      <c r="L412" s="25"/>
      <c r="M412" s="25"/>
      <c r="N412" s="25"/>
      <c r="O412" s="25"/>
      <c r="P412" s="25"/>
      <c r="Q412" s="25"/>
      <c r="R412" s="25"/>
      <c r="S412" s="25"/>
      <c r="T412" s="25"/>
      <c r="U412" s="25"/>
      <c r="V412" s="25"/>
      <c r="W412" s="17" t="s">
        <v>858</v>
      </c>
      <c r="X412" s="17"/>
      <c r="Y412" s="25"/>
      <c r="Z412" s="25"/>
      <c r="AA412" s="25"/>
      <c r="AB412" s="25"/>
      <c r="AC412" s="25"/>
    </row>
    <row r="413" spans="1:29" x14ac:dyDescent="0.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row>
    <row r="414" spans="1:29" x14ac:dyDescent="0.3">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row>
    <row r="415" spans="1:29" x14ac:dyDescent="0.3">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row>
    <row r="416" spans="1:29" x14ac:dyDescent="0.3">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row>
  </sheetData>
  <sheetProtection algorithmName="SHA-512" hashValue="sTyZUH2w23bECiGdNL7tu5V5850QJMIA0mqHH0V8YYpwUT6ClUdWmIn535Vio/WDiXZDYfs3IsMZ8v2SzMfKWA==" saltValue="uMV4o0pCuM++sO/2eUCxxA==" spinCount="100000" sheet="1" objects="1" scenarios="1"/>
  <sortState xmlns:xlrd2="http://schemas.microsoft.com/office/spreadsheetml/2017/richdata2" ref="A2:A13">
    <sortCondition ref="A2"/>
  </sortState>
  <mergeCells count="10">
    <mergeCell ref="B45:D45"/>
    <mergeCell ref="B34:D34"/>
    <mergeCell ref="S45:U45"/>
    <mergeCell ref="J33:K33"/>
    <mergeCell ref="Q34:T34"/>
    <mergeCell ref="F45:G45"/>
    <mergeCell ref="I45:K45"/>
    <mergeCell ref="M45:P45"/>
    <mergeCell ref="F34:H34"/>
    <mergeCell ref="M34:N34"/>
  </mergeCells>
  <phoneticPr fontId="21" type="noConversion"/>
  <pageMargins left="0.7" right="0.7" top="0.75" bottom="0.75" header="0.3" footer="0.3"/>
  <pageSetup paperSize="9" orientation="portrait" horizontalDpi="1200" verticalDpi="1200" r:id="rId1"/>
  <tableParts count="1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A393B-ECA0-4F50-840B-46E8375748A9}">
  <sheetPr>
    <tabColor rgb="FF005E5C"/>
  </sheetPr>
  <dimension ref="C2:E10"/>
  <sheetViews>
    <sheetView workbookViewId="0"/>
  </sheetViews>
  <sheetFormatPr defaultColWidth="9.21875" defaultRowHeight="14.4" x14ac:dyDescent="0.3"/>
  <cols>
    <col min="1" max="2" width="9.21875" style="25"/>
    <col min="3" max="3" width="34.21875" style="25" customWidth="1"/>
    <col min="4" max="4" width="45.44140625" style="25" customWidth="1"/>
    <col min="5" max="5" width="38.77734375" style="25" customWidth="1"/>
    <col min="6" max="16384" width="9.21875" style="25"/>
  </cols>
  <sheetData>
    <row r="2" spans="3:5" ht="15" thickBot="1" x14ac:dyDescent="0.35"/>
    <row r="3" spans="3:5" x14ac:dyDescent="0.3">
      <c r="C3" s="1055" t="s">
        <v>1016</v>
      </c>
      <c r="D3" s="819"/>
      <c r="E3" s="687"/>
    </row>
    <row r="4" spans="3:5" x14ac:dyDescent="0.3">
      <c r="C4" s="91" t="s">
        <v>1015</v>
      </c>
      <c r="D4" s="49" t="s">
        <v>1017</v>
      </c>
      <c r="E4" s="92" t="s">
        <v>1018</v>
      </c>
    </row>
    <row r="5" spans="3:5" x14ac:dyDescent="0.3">
      <c r="C5" s="226" t="s">
        <v>1014</v>
      </c>
      <c r="D5" s="7" t="s">
        <v>1019</v>
      </c>
      <c r="E5" s="233" t="s">
        <v>1020</v>
      </c>
    </row>
    <row r="6" spans="3:5" ht="28.8" x14ac:dyDescent="0.3">
      <c r="C6" s="226" t="s">
        <v>1021</v>
      </c>
      <c r="D6" s="9" t="s">
        <v>1036</v>
      </c>
      <c r="E6" s="233" t="s">
        <v>1022</v>
      </c>
    </row>
    <row r="7" spans="3:5" ht="28.8" x14ac:dyDescent="0.3">
      <c r="C7" s="226" t="s">
        <v>1023</v>
      </c>
      <c r="D7" s="9" t="s">
        <v>1024</v>
      </c>
      <c r="E7" s="233" t="s">
        <v>1025</v>
      </c>
    </row>
    <row r="8" spans="3:5" ht="100.8" x14ac:dyDescent="0.3">
      <c r="C8" s="226" t="s">
        <v>1026</v>
      </c>
      <c r="D8" s="9" t="s">
        <v>1037</v>
      </c>
      <c r="E8" s="233" t="s">
        <v>1038</v>
      </c>
    </row>
    <row r="9" spans="3:5" ht="28.8" x14ac:dyDescent="0.3">
      <c r="C9" s="226" t="s">
        <v>1039</v>
      </c>
      <c r="D9" s="9" t="s">
        <v>1040</v>
      </c>
      <c r="E9" s="233" t="s">
        <v>1041</v>
      </c>
    </row>
    <row r="10" spans="3:5" ht="58.2" thickBot="1" x14ac:dyDescent="0.35">
      <c r="C10" s="565" t="s">
        <v>1048</v>
      </c>
      <c r="D10" s="566" t="s">
        <v>1049</v>
      </c>
      <c r="E10" s="567" t="s">
        <v>1050</v>
      </c>
    </row>
  </sheetData>
  <sheetProtection algorithmName="SHA-512" hashValue="PaAb5MjfZxzHIZfG9ObL/7ntFEE79Ua9IfUqZvhwWVQMIL7n4yugFeV6wtqDgVDZpmqc2mGxcuyaX0IYpiZ2YQ==" saltValue="7L/sG3LfSLVTuakefZPCrg==" spinCount="100000" sheet="1" objects="1" scenarios="1"/>
  <mergeCells count="1">
    <mergeCell ref="C3:E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4745-101B-4227-8424-445FB5189DA1}">
  <sheetPr codeName="Sheet39">
    <tabColor rgb="FF7030A0"/>
  </sheetPr>
  <dimension ref="A1:H157"/>
  <sheetViews>
    <sheetView zoomScale="80" zoomScaleNormal="80" workbookViewId="0"/>
  </sheetViews>
  <sheetFormatPr defaultColWidth="0" defaultRowHeight="14.4" zeroHeight="1" x14ac:dyDescent="0.3"/>
  <cols>
    <col min="1" max="1" width="3.21875" customWidth="1"/>
    <col min="2" max="2" width="24.44140625" bestFit="1" customWidth="1"/>
    <col min="3" max="3" width="34.21875" bestFit="1" customWidth="1"/>
    <col min="4" max="4" width="41.77734375" bestFit="1" customWidth="1"/>
    <col min="5" max="5" width="50.21875" customWidth="1"/>
    <col min="6" max="6" width="20.44140625" customWidth="1"/>
    <col min="7" max="8" width="8.77734375" customWidth="1"/>
    <col min="9" max="16384" width="8.77734375" hidden="1"/>
  </cols>
  <sheetData>
    <row r="1" spans="1:8" ht="15" thickBot="1" x14ac:dyDescent="0.35">
      <c r="A1" s="60"/>
      <c r="B1" s="60"/>
      <c r="C1" s="60"/>
      <c r="D1" s="60"/>
      <c r="E1" s="60"/>
      <c r="F1" s="60"/>
      <c r="G1" s="60"/>
      <c r="H1" s="60"/>
    </row>
    <row r="2" spans="1:8" ht="19.2" customHeight="1" thickBot="1" x14ac:dyDescent="0.35">
      <c r="A2" s="25"/>
      <c r="B2" s="252" t="s">
        <v>859</v>
      </c>
      <c r="C2" s="253" t="s">
        <v>860</v>
      </c>
      <c r="D2" s="253" t="s">
        <v>861</v>
      </c>
      <c r="E2" s="254" t="s">
        <v>862</v>
      </c>
      <c r="F2" s="255" t="s">
        <v>82</v>
      </c>
      <c r="G2" s="60"/>
      <c r="H2" s="60"/>
    </row>
    <row r="3" spans="1:8" ht="21.6" customHeight="1" thickBot="1" x14ac:dyDescent="0.35">
      <c r="A3" s="25"/>
      <c r="B3" s="248" t="s">
        <v>863</v>
      </c>
      <c r="C3" s="256" t="s">
        <v>864</v>
      </c>
      <c r="D3" s="256" t="s">
        <v>865</v>
      </c>
      <c r="E3" s="249" t="s">
        <v>866</v>
      </c>
      <c r="F3" s="250" t="s">
        <v>202</v>
      </c>
      <c r="G3" s="25"/>
      <c r="H3" s="25"/>
    </row>
    <row r="4" spans="1:8" x14ac:dyDescent="0.3">
      <c r="A4" s="25"/>
      <c r="B4" s="1056" t="s">
        <v>199</v>
      </c>
      <c r="C4" s="1059" t="s">
        <v>199</v>
      </c>
      <c r="D4" s="257" t="s">
        <v>867</v>
      </c>
      <c r="E4" s="239" t="s">
        <v>297</v>
      </c>
      <c r="F4" s="240" t="s">
        <v>200</v>
      </c>
      <c r="G4" s="25"/>
      <c r="H4" s="25"/>
    </row>
    <row r="5" spans="1:8" x14ac:dyDescent="0.3">
      <c r="A5" s="25"/>
      <c r="B5" s="1057"/>
      <c r="C5" s="1060"/>
      <c r="D5" s="7" t="s">
        <v>868</v>
      </c>
      <c r="E5" s="9" t="s">
        <v>869</v>
      </c>
      <c r="F5" s="241" t="s">
        <v>200</v>
      </c>
      <c r="G5" s="25"/>
      <c r="H5" s="25"/>
    </row>
    <row r="6" spans="1:8" x14ac:dyDescent="0.3">
      <c r="A6" s="25"/>
      <c r="B6" s="1057"/>
      <c r="C6" s="1060"/>
      <c r="D6" s="7" t="s">
        <v>870</v>
      </c>
      <c r="E6" s="9" t="s">
        <v>302</v>
      </c>
      <c r="F6" s="241" t="s">
        <v>200</v>
      </c>
      <c r="G6" s="25"/>
      <c r="H6" s="25"/>
    </row>
    <row r="7" spans="1:8" x14ac:dyDescent="0.3">
      <c r="A7" s="25"/>
      <c r="B7" s="1057"/>
      <c r="C7" s="1060"/>
      <c r="D7" s="7" t="s">
        <v>871</v>
      </c>
      <c r="E7" s="9" t="s">
        <v>303</v>
      </c>
      <c r="F7" s="241" t="s">
        <v>200</v>
      </c>
      <c r="G7" s="25"/>
      <c r="H7" s="25"/>
    </row>
    <row r="8" spans="1:8" x14ac:dyDescent="0.3">
      <c r="A8" s="25"/>
      <c r="B8" s="1057"/>
      <c r="C8" s="1060" t="s">
        <v>872</v>
      </c>
      <c r="D8" s="7" t="s">
        <v>873</v>
      </c>
      <c r="E8" s="9" t="s">
        <v>292</v>
      </c>
      <c r="F8" s="245" t="s">
        <v>202</v>
      </c>
      <c r="G8" s="25"/>
      <c r="H8" s="25"/>
    </row>
    <row r="9" spans="1:8" x14ac:dyDescent="0.3">
      <c r="A9" s="25"/>
      <c r="B9" s="1057"/>
      <c r="C9" s="1060"/>
      <c r="D9" s="7" t="s">
        <v>874</v>
      </c>
      <c r="E9" s="9" t="s">
        <v>294</v>
      </c>
      <c r="F9" s="245" t="s">
        <v>202</v>
      </c>
      <c r="G9" s="25"/>
      <c r="H9" s="25"/>
    </row>
    <row r="10" spans="1:8" x14ac:dyDescent="0.3">
      <c r="A10" s="25"/>
      <c r="B10" s="1057"/>
      <c r="C10" s="1060"/>
      <c r="D10" s="7" t="s">
        <v>875</v>
      </c>
      <c r="E10" s="9" t="s">
        <v>876</v>
      </c>
      <c r="F10" s="245" t="s">
        <v>202</v>
      </c>
      <c r="G10" s="25"/>
      <c r="H10" s="25"/>
    </row>
    <row r="11" spans="1:8" x14ac:dyDescent="0.3">
      <c r="A11" s="25"/>
      <c r="B11" s="1057"/>
      <c r="C11" s="1060"/>
      <c r="D11" s="7" t="s">
        <v>877</v>
      </c>
      <c r="E11" s="9" t="s">
        <v>296</v>
      </c>
      <c r="F11" s="245" t="s">
        <v>202</v>
      </c>
      <c r="G11" s="25"/>
      <c r="H11" s="25"/>
    </row>
    <row r="12" spans="1:8" x14ac:dyDescent="0.3">
      <c r="A12" s="25"/>
      <c r="B12" s="1057"/>
      <c r="C12" s="1060"/>
      <c r="D12" s="7" t="s">
        <v>878</v>
      </c>
      <c r="E12" s="9" t="s">
        <v>879</v>
      </c>
      <c r="F12" s="245" t="s">
        <v>202</v>
      </c>
      <c r="G12" s="25"/>
      <c r="H12" s="25"/>
    </row>
    <row r="13" spans="1:8" x14ac:dyDescent="0.3">
      <c r="A13" s="25"/>
      <c r="B13" s="1057"/>
      <c r="C13" s="7" t="s">
        <v>300</v>
      </c>
      <c r="D13" s="7" t="s">
        <v>880</v>
      </c>
      <c r="E13" s="9" t="s">
        <v>300</v>
      </c>
      <c r="F13" s="241" t="s">
        <v>200</v>
      </c>
      <c r="G13" s="25"/>
      <c r="H13" s="25"/>
    </row>
    <row r="14" spans="1:8" ht="15" thickBot="1" x14ac:dyDescent="0.35">
      <c r="A14" s="25"/>
      <c r="B14" s="1058"/>
      <c r="C14" s="229" t="s">
        <v>881</v>
      </c>
      <c r="D14" s="229" t="s">
        <v>882</v>
      </c>
      <c r="E14" s="242" t="s">
        <v>301</v>
      </c>
      <c r="F14" s="243" t="s">
        <v>200</v>
      </c>
      <c r="G14" s="25"/>
      <c r="H14" s="25"/>
    </row>
    <row r="15" spans="1:8" x14ac:dyDescent="0.3">
      <c r="A15" s="25"/>
      <c r="B15" s="1056" t="s">
        <v>883</v>
      </c>
      <c r="C15" s="257" t="s">
        <v>884</v>
      </c>
      <c r="D15" s="257" t="s">
        <v>885</v>
      </c>
      <c r="E15" s="239" t="s">
        <v>305</v>
      </c>
      <c r="F15" s="240" t="s">
        <v>200</v>
      </c>
      <c r="G15" s="25"/>
      <c r="H15" s="25"/>
    </row>
    <row r="16" spans="1:8" x14ac:dyDescent="0.3">
      <c r="A16" s="25"/>
      <c r="B16" s="1057"/>
      <c r="C16" s="7" t="s">
        <v>304</v>
      </c>
      <c r="D16" s="7" t="s">
        <v>886</v>
      </c>
      <c r="E16" s="9" t="s">
        <v>304</v>
      </c>
      <c r="F16" s="241" t="s">
        <v>200</v>
      </c>
      <c r="G16" s="25"/>
      <c r="H16" s="25"/>
    </row>
    <row r="17" spans="1:8" x14ac:dyDescent="0.3">
      <c r="A17" s="25"/>
      <c r="B17" s="1057"/>
      <c r="C17" s="1060" t="s">
        <v>887</v>
      </c>
      <c r="D17" s="7" t="s">
        <v>888</v>
      </c>
      <c r="E17" s="9" t="s">
        <v>306</v>
      </c>
      <c r="F17" s="245" t="s">
        <v>202</v>
      </c>
      <c r="G17" s="25"/>
      <c r="H17" s="25"/>
    </row>
    <row r="18" spans="1:8" x14ac:dyDescent="0.3">
      <c r="A18" s="25"/>
      <c r="B18" s="1057"/>
      <c r="C18" s="1060"/>
      <c r="D18" s="7" t="s">
        <v>889</v>
      </c>
      <c r="E18" s="9" t="s">
        <v>307</v>
      </c>
      <c r="F18" s="245" t="s">
        <v>202</v>
      </c>
      <c r="G18" s="25"/>
      <c r="H18" s="25"/>
    </row>
    <row r="19" spans="1:8" ht="15" thickBot="1" x14ac:dyDescent="0.35">
      <c r="A19" s="25"/>
      <c r="B19" s="1058"/>
      <c r="C19" s="1061"/>
      <c r="D19" s="229" t="s">
        <v>890</v>
      </c>
      <c r="E19" s="242" t="s">
        <v>308</v>
      </c>
      <c r="F19" s="246" t="s">
        <v>202</v>
      </c>
      <c r="G19" s="25"/>
      <c r="H19" s="25"/>
    </row>
    <row r="20" spans="1:8" x14ac:dyDescent="0.3">
      <c r="A20" s="25"/>
      <c r="B20" s="1056" t="s">
        <v>204</v>
      </c>
      <c r="C20" s="257" t="s">
        <v>891</v>
      </c>
      <c r="D20" s="257" t="s">
        <v>892</v>
      </c>
      <c r="E20" s="239" t="s">
        <v>315</v>
      </c>
      <c r="F20" s="240" t="s">
        <v>200</v>
      </c>
      <c r="G20" s="25"/>
      <c r="H20" s="25"/>
    </row>
    <row r="21" spans="1:8" x14ac:dyDescent="0.3">
      <c r="A21" s="25"/>
      <c r="B21" s="1057"/>
      <c r="C21" s="1060" t="s">
        <v>893</v>
      </c>
      <c r="D21" s="7" t="s">
        <v>894</v>
      </c>
      <c r="E21" s="9" t="s">
        <v>309</v>
      </c>
      <c r="F21" s="245" t="s">
        <v>202</v>
      </c>
      <c r="G21" s="25"/>
      <c r="H21" s="25"/>
    </row>
    <row r="22" spans="1:8" x14ac:dyDescent="0.3">
      <c r="A22" s="25"/>
      <c r="B22" s="1057"/>
      <c r="C22" s="1060"/>
      <c r="D22" s="7" t="s">
        <v>895</v>
      </c>
      <c r="E22" s="9" t="s">
        <v>310</v>
      </c>
      <c r="F22" s="245" t="s">
        <v>202</v>
      </c>
      <c r="G22" s="25"/>
      <c r="H22" s="25"/>
    </row>
    <row r="23" spans="1:8" x14ac:dyDescent="0.3">
      <c r="A23" s="25"/>
      <c r="B23" s="1057"/>
      <c r="C23" s="1060"/>
      <c r="D23" s="7" t="s">
        <v>896</v>
      </c>
      <c r="E23" s="9" t="s">
        <v>311</v>
      </c>
      <c r="F23" s="245" t="s">
        <v>202</v>
      </c>
      <c r="G23" s="25"/>
      <c r="H23" s="25"/>
    </row>
    <row r="24" spans="1:8" x14ac:dyDescent="0.3">
      <c r="A24" s="25"/>
      <c r="B24" s="1057"/>
      <c r="C24" s="1060"/>
      <c r="D24" s="7" t="s">
        <v>897</v>
      </c>
      <c r="E24" s="9" t="s">
        <v>312</v>
      </c>
      <c r="F24" s="245" t="s">
        <v>202</v>
      </c>
      <c r="G24" s="25"/>
      <c r="H24" s="25"/>
    </row>
    <row r="25" spans="1:8" x14ac:dyDescent="0.3">
      <c r="A25" s="25"/>
      <c r="B25" s="1057"/>
      <c r="C25" s="1060"/>
      <c r="D25" s="7" t="s">
        <v>898</v>
      </c>
      <c r="E25" s="9" t="s">
        <v>313</v>
      </c>
      <c r="F25" s="245" t="s">
        <v>202</v>
      </c>
      <c r="G25" s="25"/>
      <c r="H25" s="25"/>
    </row>
    <row r="26" spans="1:8" x14ac:dyDescent="0.3">
      <c r="A26" s="25"/>
      <c r="B26" s="1057"/>
      <c r="C26" s="1060"/>
      <c r="D26" s="7" t="s">
        <v>899</v>
      </c>
      <c r="E26" s="9" t="s">
        <v>314</v>
      </c>
      <c r="F26" s="245" t="s">
        <v>202</v>
      </c>
      <c r="G26" s="25"/>
      <c r="H26" s="25"/>
    </row>
    <row r="27" spans="1:8" ht="15" thickBot="1" x14ac:dyDescent="0.35">
      <c r="A27" s="25"/>
      <c r="B27" s="1058"/>
      <c r="C27" s="1061"/>
      <c r="D27" s="229" t="s">
        <v>900</v>
      </c>
      <c r="E27" s="242" t="s">
        <v>901</v>
      </c>
      <c r="F27" s="246" t="s">
        <v>202</v>
      </c>
      <c r="G27" s="25"/>
      <c r="H27" s="25"/>
    </row>
    <row r="28" spans="1:8" x14ac:dyDescent="0.3">
      <c r="A28" s="25"/>
      <c r="B28" s="1056" t="s">
        <v>902</v>
      </c>
      <c r="C28" s="1059" t="s">
        <v>903</v>
      </c>
      <c r="D28" s="257" t="s">
        <v>904</v>
      </c>
      <c r="E28" s="239" t="s">
        <v>905</v>
      </c>
      <c r="F28" s="240" t="s">
        <v>200</v>
      </c>
      <c r="G28" s="25"/>
      <c r="H28" s="25"/>
    </row>
    <row r="29" spans="1:8" x14ac:dyDescent="0.3">
      <c r="A29" s="25"/>
      <c r="B29" s="1057"/>
      <c r="C29" s="1060"/>
      <c r="D29" s="7" t="s">
        <v>906</v>
      </c>
      <c r="E29" s="9" t="s">
        <v>907</v>
      </c>
      <c r="F29" s="245" t="s">
        <v>202</v>
      </c>
      <c r="G29" s="25"/>
      <c r="H29" s="25"/>
    </row>
    <row r="30" spans="1:8" x14ac:dyDescent="0.3">
      <c r="A30" s="25"/>
      <c r="B30" s="1057"/>
      <c r="C30" s="1060"/>
      <c r="D30" s="7" t="s">
        <v>908</v>
      </c>
      <c r="E30" s="9" t="s">
        <v>909</v>
      </c>
      <c r="F30" s="245" t="s">
        <v>202</v>
      </c>
      <c r="G30" s="25"/>
      <c r="H30" s="25"/>
    </row>
    <row r="31" spans="1:8" x14ac:dyDescent="0.3">
      <c r="A31" s="25"/>
      <c r="B31" s="1057"/>
      <c r="C31" s="1060" t="s">
        <v>910</v>
      </c>
      <c r="D31" s="7" t="s">
        <v>911</v>
      </c>
      <c r="E31" s="9" t="s">
        <v>912</v>
      </c>
      <c r="F31" s="241" t="s">
        <v>200</v>
      </c>
      <c r="G31" s="25"/>
      <c r="H31" s="25"/>
    </row>
    <row r="32" spans="1:8" x14ac:dyDescent="0.3">
      <c r="A32" s="25"/>
      <c r="B32" s="1057"/>
      <c r="C32" s="1060"/>
      <c r="D32" s="7" t="s">
        <v>913</v>
      </c>
      <c r="E32" s="9" t="s">
        <v>914</v>
      </c>
      <c r="F32" s="245" t="s">
        <v>202</v>
      </c>
      <c r="G32" s="25"/>
      <c r="H32" s="25"/>
    </row>
    <row r="33" spans="1:8" x14ac:dyDescent="0.3">
      <c r="A33" s="25"/>
      <c r="B33" s="1057"/>
      <c r="C33" s="1060"/>
      <c r="D33" s="7" t="s">
        <v>915</v>
      </c>
      <c r="E33" s="9" t="s">
        <v>916</v>
      </c>
      <c r="F33" s="245" t="s">
        <v>202</v>
      </c>
      <c r="G33" s="25"/>
      <c r="H33" s="25"/>
    </row>
    <row r="34" spans="1:8" x14ac:dyDescent="0.3">
      <c r="A34" s="25"/>
      <c r="B34" s="1057"/>
      <c r="C34" s="7" t="s">
        <v>917</v>
      </c>
      <c r="D34" s="7" t="s">
        <v>918</v>
      </c>
      <c r="E34" s="9" t="s">
        <v>919</v>
      </c>
      <c r="F34" s="247" t="s">
        <v>327</v>
      </c>
      <c r="G34" s="25"/>
      <c r="H34" s="25"/>
    </row>
    <row r="35" spans="1:8" x14ac:dyDescent="0.3">
      <c r="A35" s="25"/>
      <c r="B35" s="1057"/>
      <c r="C35" s="1060" t="s">
        <v>920</v>
      </c>
      <c r="D35" s="7" t="s">
        <v>921</v>
      </c>
      <c r="E35" s="9" t="s">
        <v>922</v>
      </c>
      <c r="F35" s="241" t="s">
        <v>200</v>
      </c>
      <c r="G35" s="25"/>
      <c r="H35" s="25"/>
    </row>
    <row r="36" spans="1:8" x14ac:dyDescent="0.3">
      <c r="A36" s="25"/>
      <c r="B36" s="1057"/>
      <c r="C36" s="1060"/>
      <c r="D36" s="7" t="s">
        <v>923</v>
      </c>
      <c r="E36" s="9" t="s">
        <v>924</v>
      </c>
      <c r="F36" s="241" t="s">
        <v>200</v>
      </c>
      <c r="G36" s="25"/>
      <c r="H36" s="25"/>
    </row>
    <row r="37" spans="1:8" x14ac:dyDescent="0.3">
      <c r="A37" s="25"/>
      <c r="B37" s="1057"/>
      <c r="C37" s="1060"/>
      <c r="D37" s="7" t="s">
        <v>925</v>
      </c>
      <c r="E37" s="9" t="s">
        <v>926</v>
      </c>
      <c r="F37" s="245" t="s">
        <v>202</v>
      </c>
      <c r="G37" s="25"/>
      <c r="H37" s="25"/>
    </row>
    <row r="38" spans="1:8" ht="15" thickBot="1" x14ac:dyDescent="0.35">
      <c r="A38" s="25"/>
      <c r="B38" s="1058"/>
      <c r="C38" s="1061"/>
      <c r="D38" s="229" t="s">
        <v>927</v>
      </c>
      <c r="E38" s="242" t="s">
        <v>928</v>
      </c>
      <c r="F38" s="246" t="s">
        <v>202</v>
      </c>
      <c r="G38" s="25"/>
      <c r="H38" s="25"/>
    </row>
    <row r="39" spans="1:8" x14ac:dyDescent="0.3">
      <c r="A39" s="25"/>
      <c r="B39" s="1062" t="s">
        <v>929</v>
      </c>
      <c r="C39" s="257" t="s">
        <v>930</v>
      </c>
      <c r="D39" s="257" t="s">
        <v>931</v>
      </c>
      <c r="E39" s="239" t="s">
        <v>362</v>
      </c>
      <c r="F39" s="240" t="s">
        <v>932</v>
      </c>
      <c r="G39" s="25"/>
      <c r="H39" s="25"/>
    </row>
    <row r="40" spans="1:8" x14ac:dyDescent="0.3">
      <c r="A40" s="25"/>
      <c r="B40" s="1063"/>
      <c r="C40" s="7" t="s">
        <v>930</v>
      </c>
      <c r="D40" s="7" t="s">
        <v>933</v>
      </c>
      <c r="E40" s="9" t="s">
        <v>361</v>
      </c>
      <c r="F40" s="241" t="s">
        <v>932</v>
      </c>
      <c r="G40" s="25"/>
      <c r="H40" s="25"/>
    </row>
    <row r="41" spans="1:8" ht="29.4" thickBot="1" x14ac:dyDescent="0.35">
      <c r="A41" s="25"/>
      <c r="B41" s="1064"/>
      <c r="C41" s="229" t="s">
        <v>930</v>
      </c>
      <c r="D41" s="229" t="s">
        <v>934</v>
      </c>
      <c r="E41" s="242" t="s">
        <v>935</v>
      </c>
      <c r="F41" s="246" t="s">
        <v>202</v>
      </c>
      <c r="G41" s="25"/>
      <c r="H41" s="25"/>
    </row>
    <row r="42" spans="1:8" x14ac:dyDescent="0.3">
      <c r="A42" s="25"/>
      <c r="B42" s="1056" t="s">
        <v>206</v>
      </c>
      <c r="C42" s="257" t="s">
        <v>930</v>
      </c>
      <c r="D42" s="257" t="s">
        <v>936</v>
      </c>
      <c r="E42" s="239" t="s">
        <v>359</v>
      </c>
      <c r="F42" s="240" t="s">
        <v>932</v>
      </c>
      <c r="G42" s="25"/>
      <c r="H42" s="25"/>
    </row>
    <row r="43" spans="1:8" x14ac:dyDescent="0.3">
      <c r="A43" s="25"/>
      <c r="B43" s="1057"/>
      <c r="C43" s="7" t="s">
        <v>930</v>
      </c>
      <c r="D43" s="7" t="s">
        <v>937</v>
      </c>
      <c r="E43" s="9" t="s">
        <v>353</v>
      </c>
      <c r="F43" s="241" t="s">
        <v>932</v>
      </c>
      <c r="G43" s="25"/>
      <c r="H43" s="25"/>
    </row>
    <row r="44" spans="1:8" x14ac:dyDescent="0.3">
      <c r="A44" s="25"/>
      <c r="B44" s="1057"/>
      <c r="C44" s="7" t="s">
        <v>930</v>
      </c>
      <c r="D44" s="7" t="s">
        <v>938</v>
      </c>
      <c r="E44" s="9" t="s">
        <v>357</v>
      </c>
      <c r="F44" s="241" t="s">
        <v>932</v>
      </c>
      <c r="G44" s="25"/>
      <c r="H44" s="25"/>
    </row>
    <row r="45" spans="1:8" x14ac:dyDescent="0.3">
      <c r="A45" s="25"/>
      <c r="B45" s="1057"/>
      <c r="C45" s="7" t="s">
        <v>930</v>
      </c>
      <c r="D45" s="7" t="s">
        <v>939</v>
      </c>
      <c r="E45" s="9" t="s">
        <v>354</v>
      </c>
      <c r="F45" s="241" t="s">
        <v>200</v>
      </c>
      <c r="G45" s="25"/>
      <c r="H45" s="25"/>
    </row>
    <row r="46" spans="1:8" x14ac:dyDescent="0.3">
      <c r="A46" s="25"/>
      <c r="B46" s="1057"/>
      <c r="C46" s="7" t="s">
        <v>930</v>
      </c>
      <c r="D46" s="7" t="s">
        <v>940</v>
      </c>
      <c r="E46" s="9" t="s">
        <v>356</v>
      </c>
      <c r="F46" s="241" t="s">
        <v>932</v>
      </c>
      <c r="G46" s="25"/>
      <c r="H46" s="25"/>
    </row>
    <row r="47" spans="1:8" x14ac:dyDescent="0.3">
      <c r="A47" s="25"/>
      <c r="B47" s="1057"/>
      <c r="C47" s="7" t="s">
        <v>930</v>
      </c>
      <c r="D47" s="7" t="s">
        <v>941</v>
      </c>
      <c r="E47" s="9" t="s">
        <v>355</v>
      </c>
      <c r="F47" s="241" t="s">
        <v>200</v>
      </c>
      <c r="G47" s="25"/>
      <c r="H47" s="25"/>
    </row>
    <row r="48" spans="1:8" x14ac:dyDescent="0.3">
      <c r="A48" s="25"/>
      <c r="B48" s="1057"/>
      <c r="C48" s="7" t="s">
        <v>930</v>
      </c>
      <c r="D48" s="7" t="s">
        <v>942</v>
      </c>
      <c r="E48" s="9" t="s">
        <v>358</v>
      </c>
      <c r="F48" s="241" t="s">
        <v>932</v>
      </c>
      <c r="G48" s="25"/>
      <c r="H48" s="25"/>
    </row>
    <row r="49" spans="1:8" x14ac:dyDescent="0.3">
      <c r="A49" s="25"/>
      <c r="B49" s="1057"/>
      <c r="C49" s="7" t="s">
        <v>930</v>
      </c>
      <c r="D49" s="7" t="s">
        <v>943</v>
      </c>
      <c r="E49" s="9" t="s">
        <v>944</v>
      </c>
      <c r="F49" s="241" t="s">
        <v>200</v>
      </c>
      <c r="G49" s="25"/>
      <c r="H49" s="25"/>
    </row>
    <row r="50" spans="1:8" x14ac:dyDescent="0.3">
      <c r="A50" s="25"/>
      <c r="B50" s="1057"/>
      <c r="C50" s="7" t="s">
        <v>930</v>
      </c>
      <c r="D50" s="7" t="s">
        <v>945</v>
      </c>
      <c r="E50" s="9" t="s">
        <v>946</v>
      </c>
      <c r="F50" s="245" t="s">
        <v>202</v>
      </c>
      <c r="G50" s="25"/>
      <c r="H50" s="25"/>
    </row>
    <row r="51" spans="1:8" ht="15" thickBot="1" x14ac:dyDescent="0.35">
      <c r="A51" s="25"/>
      <c r="B51" s="1058"/>
      <c r="C51" s="229" t="s">
        <v>930</v>
      </c>
      <c r="D51" s="229" t="s">
        <v>947</v>
      </c>
      <c r="E51" s="242" t="s">
        <v>360</v>
      </c>
      <c r="F51" s="246" t="s">
        <v>202</v>
      </c>
      <c r="G51" s="25"/>
      <c r="H51" s="25"/>
    </row>
    <row r="52" spans="1:8" x14ac:dyDescent="0.3">
      <c r="A52" s="25"/>
      <c r="B52" s="1056" t="s">
        <v>207</v>
      </c>
      <c r="C52" s="257" t="s">
        <v>321</v>
      </c>
      <c r="D52" s="257" t="s">
        <v>948</v>
      </c>
      <c r="E52" s="239" t="s">
        <v>321</v>
      </c>
      <c r="F52" s="244" t="s">
        <v>202</v>
      </c>
      <c r="G52" s="25"/>
      <c r="H52" s="25"/>
    </row>
    <row r="53" spans="1:8" ht="15" thickBot="1" x14ac:dyDescent="0.35">
      <c r="A53" s="25"/>
      <c r="B53" s="1058"/>
      <c r="C53" s="229" t="s">
        <v>949</v>
      </c>
      <c r="D53" s="229" t="s">
        <v>950</v>
      </c>
      <c r="E53" s="242" t="s">
        <v>951</v>
      </c>
      <c r="F53" s="246" t="s">
        <v>202</v>
      </c>
      <c r="G53" s="25"/>
      <c r="H53" s="25"/>
    </row>
    <row r="54" spans="1:8" x14ac:dyDescent="0.3">
      <c r="A54" s="25"/>
      <c r="B54" s="1056" t="s">
        <v>952</v>
      </c>
      <c r="C54" s="257" t="s">
        <v>953</v>
      </c>
      <c r="D54" s="257" t="s">
        <v>954</v>
      </c>
      <c r="E54" s="239" t="s">
        <v>256</v>
      </c>
      <c r="F54" s="244" t="s">
        <v>202</v>
      </c>
      <c r="G54" s="25"/>
      <c r="H54" s="25"/>
    </row>
    <row r="55" spans="1:8" x14ac:dyDescent="0.3">
      <c r="A55" s="25"/>
      <c r="B55" s="1057"/>
      <c r="C55" s="7" t="s">
        <v>258</v>
      </c>
      <c r="D55" s="7" t="s">
        <v>955</v>
      </c>
      <c r="E55" s="9" t="s">
        <v>258</v>
      </c>
      <c r="F55" s="241" t="s">
        <v>200</v>
      </c>
      <c r="G55" s="25"/>
      <c r="H55" s="25"/>
    </row>
    <row r="56" spans="1:8" ht="15" thickBot="1" x14ac:dyDescent="0.35">
      <c r="A56" s="25"/>
      <c r="B56" s="1058"/>
      <c r="C56" s="229" t="s">
        <v>956</v>
      </c>
      <c r="D56" s="229" t="s">
        <v>957</v>
      </c>
      <c r="E56" s="242" t="s">
        <v>257</v>
      </c>
      <c r="F56" s="246" t="s">
        <v>202</v>
      </c>
      <c r="G56" s="25"/>
      <c r="H56" s="25"/>
    </row>
    <row r="57" spans="1:8" x14ac:dyDescent="0.3">
      <c r="A57" s="25"/>
      <c r="B57" s="1056" t="s">
        <v>208</v>
      </c>
      <c r="C57" s="257" t="s">
        <v>958</v>
      </c>
      <c r="D57" s="257" t="s">
        <v>959</v>
      </c>
      <c r="E57" s="239" t="s">
        <v>322</v>
      </c>
      <c r="F57" s="240" t="s">
        <v>200</v>
      </c>
      <c r="G57" s="25"/>
      <c r="H57" s="25"/>
    </row>
    <row r="58" spans="1:8" ht="15" thickBot="1" x14ac:dyDescent="0.35">
      <c r="A58" s="25"/>
      <c r="B58" s="1058"/>
      <c r="C58" s="229" t="s">
        <v>960</v>
      </c>
      <c r="D58" s="229" t="s">
        <v>961</v>
      </c>
      <c r="E58" s="242" t="s">
        <v>323</v>
      </c>
      <c r="F58" s="246" t="s">
        <v>202</v>
      </c>
      <c r="G58" s="25"/>
      <c r="H58" s="25"/>
    </row>
    <row r="59" spans="1:8" x14ac:dyDescent="0.3">
      <c r="A59" s="25"/>
      <c r="B59" s="1056" t="s">
        <v>209</v>
      </c>
      <c r="C59" s="257" t="s">
        <v>325</v>
      </c>
      <c r="D59" s="257" t="s">
        <v>962</v>
      </c>
      <c r="E59" s="239" t="s">
        <v>325</v>
      </c>
      <c r="F59" s="240" t="s">
        <v>200</v>
      </c>
      <c r="G59" s="25"/>
      <c r="H59" s="25"/>
    </row>
    <row r="60" spans="1:8" x14ac:dyDescent="0.3">
      <c r="A60" s="25"/>
      <c r="B60" s="1057"/>
      <c r="C60" s="7" t="s">
        <v>963</v>
      </c>
      <c r="D60" s="7" t="s">
        <v>964</v>
      </c>
      <c r="E60" s="9" t="s">
        <v>965</v>
      </c>
      <c r="F60" s="241" t="s">
        <v>200</v>
      </c>
      <c r="G60" s="25"/>
      <c r="H60" s="25"/>
    </row>
    <row r="61" spans="1:8" x14ac:dyDescent="0.3">
      <c r="A61" s="25"/>
      <c r="B61" s="1057"/>
      <c r="C61" s="7" t="s">
        <v>966</v>
      </c>
      <c r="D61" s="7" t="s">
        <v>967</v>
      </c>
      <c r="E61" s="9" t="s">
        <v>968</v>
      </c>
      <c r="F61" s="245" t="s">
        <v>202</v>
      </c>
      <c r="G61" s="25"/>
      <c r="H61" s="25"/>
    </row>
    <row r="62" spans="1:8" x14ac:dyDescent="0.3">
      <c r="A62" s="25"/>
      <c r="B62" s="1057"/>
      <c r="C62" s="7" t="s">
        <v>329</v>
      </c>
      <c r="D62" s="7" t="s">
        <v>969</v>
      </c>
      <c r="E62" s="9" t="s">
        <v>329</v>
      </c>
      <c r="F62" s="241" t="s">
        <v>200</v>
      </c>
      <c r="G62" s="25"/>
      <c r="H62" s="25"/>
    </row>
    <row r="63" spans="1:8" x14ac:dyDescent="0.3">
      <c r="A63" s="25"/>
      <c r="B63" s="1057"/>
      <c r="C63" s="7" t="s">
        <v>970</v>
      </c>
      <c r="D63" s="7" t="s">
        <v>971</v>
      </c>
      <c r="E63" s="9" t="s">
        <v>332</v>
      </c>
      <c r="F63" s="245" t="s">
        <v>202</v>
      </c>
      <c r="G63" s="25"/>
      <c r="H63" s="25"/>
    </row>
    <row r="64" spans="1:8" x14ac:dyDescent="0.3">
      <c r="A64" s="25"/>
      <c r="B64" s="1057"/>
      <c r="C64" s="1060" t="s">
        <v>972</v>
      </c>
      <c r="D64" s="7" t="s">
        <v>973</v>
      </c>
      <c r="E64" s="9" t="s">
        <v>345</v>
      </c>
      <c r="F64" s="241" t="s">
        <v>200</v>
      </c>
      <c r="G64" s="25"/>
      <c r="H64" s="25"/>
    </row>
    <row r="65" spans="1:8" x14ac:dyDescent="0.3">
      <c r="A65" s="25"/>
      <c r="B65" s="1057"/>
      <c r="C65" s="1060"/>
      <c r="D65" s="7" t="s">
        <v>974</v>
      </c>
      <c r="E65" s="9" t="s">
        <v>975</v>
      </c>
      <c r="F65" s="247" t="s">
        <v>327</v>
      </c>
      <c r="G65" s="25"/>
      <c r="H65" s="25"/>
    </row>
    <row r="66" spans="1:8" x14ac:dyDescent="0.3">
      <c r="A66" s="25"/>
      <c r="B66" s="1057"/>
      <c r="C66" s="7" t="s">
        <v>976</v>
      </c>
      <c r="D66" s="7" t="s">
        <v>977</v>
      </c>
      <c r="E66" s="9" t="s">
        <v>978</v>
      </c>
      <c r="F66" s="245" t="s">
        <v>202</v>
      </c>
      <c r="G66" s="25"/>
      <c r="H66" s="25"/>
    </row>
    <row r="67" spans="1:8" x14ac:dyDescent="0.3">
      <c r="A67" s="25"/>
      <c r="B67" s="1057"/>
      <c r="C67" s="7" t="s">
        <v>979</v>
      </c>
      <c r="D67" s="7" t="s">
        <v>980</v>
      </c>
      <c r="E67" s="9" t="s">
        <v>334</v>
      </c>
      <c r="F67" s="241" t="s">
        <v>200</v>
      </c>
      <c r="G67" s="25"/>
      <c r="H67" s="25"/>
    </row>
    <row r="68" spans="1:8" x14ac:dyDescent="0.3">
      <c r="A68" s="25"/>
      <c r="B68" s="1057"/>
      <c r="C68" s="1060" t="s">
        <v>981</v>
      </c>
      <c r="D68" s="7" t="s">
        <v>982</v>
      </c>
      <c r="E68" s="9" t="s">
        <v>335</v>
      </c>
      <c r="F68" s="241" t="s">
        <v>200</v>
      </c>
      <c r="G68" s="25"/>
      <c r="H68" s="25"/>
    </row>
    <row r="69" spans="1:8" x14ac:dyDescent="0.3">
      <c r="A69" s="25"/>
      <c r="B69" s="1057"/>
      <c r="C69" s="1060"/>
      <c r="D69" s="7" t="s">
        <v>983</v>
      </c>
      <c r="E69" s="9" t="s">
        <v>336</v>
      </c>
      <c r="F69" s="241" t="s">
        <v>200</v>
      </c>
      <c r="G69" s="25"/>
      <c r="H69" s="25"/>
    </row>
    <row r="70" spans="1:8" x14ac:dyDescent="0.3">
      <c r="A70" s="25"/>
      <c r="B70" s="1057"/>
      <c r="C70" s="7" t="s">
        <v>984</v>
      </c>
      <c r="D70" s="7" t="s">
        <v>985</v>
      </c>
      <c r="E70" s="9" t="s">
        <v>333</v>
      </c>
      <c r="F70" s="247" t="s">
        <v>327</v>
      </c>
      <c r="G70" s="25"/>
      <c r="H70" s="25"/>
    </row>
    <row r="71" spans="1:8" x14ac:dyDescent="0.3">
      <c r="A71" s="25"/>
      <c r="B71" s="1057"/>
      <c r="C71" s="7" t="s">
        <v>986</v>
      </c>
      <c r="D71" s="7" t="s">
        <v>987</v>
      </c>
      <c r="E71" s="9" t="s">
        <v>318</v>
      </c>
      <c r="F71" s="241" t="s">
        <v>200</v>
      </c>
      <c r="G71" s="25"/>
      <c r="H71" s="25"/>
    </row>
    <row r="72" spans="1:8" x14ac:dyDescent="0.3">
      <c r="A72" s="25"/>
      <c r="B72" s="1057"/>
      <c r="C72" s="7" t="s">
        <v>988</v>
      </c>
      <c r="D72" s="7" t="s">
        <v>989</v>
      </c>
      <c r="E72" s="9" t="s">
        <v>339</v>
      </c>
      <c r="F72" s="241" t="s">
        <v>200</v>
      </c>
      <c r="G72" s="25"/>
      <c r="H72" s="25"/>
    </row>
    <row r="73" spans="1:8" x14ac:dyDescent="0.3">
      <c r="A73" s="25"/>
      <c r="B73" s="1057"/>
      <c r="C73" s="7" t="s">
        <v>990</v>
      </c>
      <c r="D73" s="7" t="s">
        <v>991</v>
      </c>
      <c r="E73" s="9" t="s">
        <v>326</v>
      </c>
      <c r="F73" s="247" t="s">
        <v>327</v>
      </c>
      <c r="G73" s="25"/>
      <c r="H73" s="25"/>
    </row>
    <row r="74" spans="1:8" x14ac:dyDescent="0.3">
      <c r="A74" s="25"/>
      <c r="B74" s="1057"/>
      <c r="C74" s="7" t="s">
        <v>992</v>
      </c>
      <c r="D74" s="7" t="s">
        <v>993</v>
      </c>
      <c r="E74" s="9" t="s">
        <v>337</v>
      </c>
      <c r="F74" s="241" t="s">
        <v>200</v>
      </c>
      <c r="G74" s="25"/>
      <c r="H74" s="25"/>
    </row>
    <row r="75" spans="1:8" x14ac:dyDescent="0.3">
      <c r="A75" s="25"/>
      <c r="B75" s="1057"/>
      <c r="C75" s="7" t="s">
        <v>994</v>
      </c>
      <c r="D75" s="7" t="s">
        <v>995</v>
      </c>
      <c r="E75" s="9" t="s">
        <v>996</v>
      </c>
      <c r="F75" s="241" t="s">
        <v>200</v>
      </c>
      <c r="G75" s="25"/>
      <c r="H75" s="25"/>
    </row>
    <row r="76" spans="1:8" x14ac:dyDescent="0.3">
      <c r="A76" s="25"/>
      <c r="B76" s="1057"/>
      <c r="C76" s="7" t="s">
        <v>997</v>
      </c>
      <c r="D76" s="7" t="s">
        <v>998</v>
      </c>
      <c r="E76" s="9" t="s">
        <v>999</v>
      </c>
      <c r="F76" s="241" t="s">
        <v>200</v>
      </c>
      <c r="G76" s="25"/>
      <c r="H76" s="25"/>
    </row>
    <row r="77" spans="1:8" x14ac:dyDescent="0.3">
      <c r="A77" s="25"/>
      <c r="B77" s="1057"/>
      <c r="C77" s="1060" t="s">
        <v>1000</v>
      </c>
      <c r="D77" s="7" t="s">
        <v>1001</v>
      </c>
      <c r="E77" s="9" t="s">
        <v>340</v>
      </c>
      <c r="F77" s="241" t="s">
        <v>200</v>
      </c>
      <c r="G77" s="25"/>
      <c r="H77" s="25"/>
    </row>
    <row r="78" spans="1:8" x14ac:dyDescent="0.3">
      <c r="A78" s="25"/>
      <c r="B78" s="1057"/>
      <c r="C78" s="1060"/>
      <c r="D78" s="7" t="s">
        <v>1002</v>
      </c>
      <c r="E78" s="9" t="s">
        <v>1003</v>
      </c>
      <c r="F78" s="241" t="s">
        <v>200</v>
      </c>
      <c r="G78" s="25"/>
      <c r="H78" s="25"/>
    </row>
    <row r="79" spans="1:8" ht="15" thickBot="1" x14ac:dyDescent="0.35">
      <c r="A79" s="25"/>
      <c r="B79" s="1058"/>
      <c r="C79" s="229" t="s">
        <v>1004</v>
      </c>
      <c r="D79" s="229" t="s">
        <v>1005</v>
      </c>
      <c r="E79" s="242" t="s">
        <v>331</v>
      </c>
      <c r="F79" s="251" t="s">
        <v>327</v>
      </c>
      <c r="G79" s="25"/>
      <c r="H79" s="25"/>
    </row>
    <row r="80" spans="1:8" x14ac:dyDescent="0.3">
      <c r="A80" s="25"/>
      <c r="B80" s="1056" t="s">
        <v>210</v>
      </c>
      <c r="C80" s="1059" t="s">
        <v>1006</v>
      </c>
      <c r="D80" s="257" t="s">
        <v>1007</v>
      </c>
      <c r="E80" s="239" t="s">
        <v>347</v>
      </c>
      <c r="F80" s="240" t="s">
        <v>200</v>
      </c>
      <c r="G80" s="25"/>
      <c r="H80" s="25"/>
    </row>
    <row r="81" spans="1:8" x14ac:dyDescent="0.3">
      <c r="A81" s="25"/>
      <c r="B81" s="1057"/>
      <c r="C81" s="1060"/>
      <c r="D81" s="7" t="s">
        <v>1008</v>
      </c>
      <c r="E81" s="9" t="s">
        <v>1009</v>
      </c>
      <c r="F81" s="245" t="s">
        <v>202</v>
      </c>
      <c r="G81" s="25"/>
      <c r="H81" s="25"/>
    </row>
    <row r="82" spans="1:8" x14ac:dyDescent="0.3">
      <c r="A82" s="25"/>
      <c r="B82" s="1057"/>
      <c r="C82" s="7" t="s">
        <v>1010</v>
      </c>
      <c r="D82" s="7" t="s">
        <v>1011</v>
      </c>
      <c r="E82" s="9" t="s">
        <v>349</v>
      </c>
      <c r="F82" s="245" t="s">
        <v>202</v>
      </c>
      <c r="G82" s="25"/>
      <c r="H82" s="25"/>
    </row>
    <row r="83" spans="1:8" ht="15" thickBot="1" x14ac:dyDescent="0.35">
      <c r="A83" s="25"/>
      <c r="B83" s="1058"/>
      <c r="C83" s="229" t="s">
        <v>1012</v>
      </c>
      <c r="D83" s="229" t="s">
        <v>1013</v>
      </c>
      <c r="E83" s="242" t="s">
        <v>350</v>
      </c>
      <c r="F83" s="246" t="s">
        <v>202</v>
      </c>
      <c r="G83" s="25"/>
      <c r="H83" s="25"/>
    </row>
    <row r="84" spans="1:8" x14ac:dyDescent="0.3">
      <c r="A84" s="25"/>
      <c r="B84" s="25"/>
      <c r="C84" s="25"/>
      <c r="D84" s="25"/>
      <c r="E84" s="25"/>
      <c r="F84" s="25"/>
      <c r="G84" s="25"/>
      <c r="H84" s="25"/>
    </row>
    <row r="85" spans="1:8" x14ac:dyDescent="0.3">
      <c r="A85" s="25"/>
      <c r="B85" s="25"/>
      <c r="C85" s="25"/>
      <c r="D85" s="25"/>
      <c r="E85" s="25"/>
      <c r="F85" s="25"/>
      <c r="G85" s="25"/>
      <c r="H85" s="25"/>
    </row>
    <row r="86" spans="1:8" x14ac:dyDescent="0.3">
      <c r="A86" s="25"/>
      <c r="B86" s="25"/>
      <c r="C86" s="25"/>
      <c r="D86" s="25"/>
      <c r="E86" s="25"/>
      <c r="F86" s="25"/>
      <c r="G86" s="25"/>
      <c r="H86" s="25"/>
    </row>
    <row r="87" spans="1:8" x14ac:dyDescent="0.3">
      <c r="A87" s="25"/>
      <c r="B87" s="25"/>
      <c r="C87" s="25"/>
      <c r="D87" s="25"/>
      <c r="E87" s="25"/>
      <c r="F87" s="25"/>
      <c r="G87" s="25"/>
      <c r="H87" s="25"/>
    </row>
    <row r="88" spans="1:8" x14ac:dyDescent="0.3">
      <c r="A88" s="25"/>
      <c r="B88" s="25"/>
      <c r="C88" s="25"/>
      <c r="D88" s="25"/>
      <c r="E88" s="25"/>
      <c r="F88" s="25"/>
      <c r="G88" s="25"/>
      <c r="H88" s="25"/>
    </row>
    <row r="89" spans="1:8" hidden="1" x14ac:dyDescent="0.3">
      <c r="A89" s="25"/>
      <c r="B89" s="25"/>
      <c r="C89" s="25"/>
      <c r="D89" s="25"/>
      <c r="E89" s="25"/>
      <c r="F89" s="25"/>
      <c r="G89" s="25"/>
      <c r="H89" s="25"/>
    </row>
    <row r="90" spans="1:8" hidden="1" x14ac:dyDescent="0.3">
      <c r="A90" s="25"/>
      <c r="B90" s="25"/>
      <c r="C90" s="25"/>
      <c r="D90" s="25"/>
      <c r="E90" s="25"/>
      <c r="F90" s="25"/>
      <c r="G90" s="25"/>
      <c r="H90" s="25"/>
    </row>
    <row r="91" spans="1:8" hidden="1" x14ac:dyDescent="0.3">
      <c r="A91" s="25"/>
      <c r="B91" s="25"/>
      <c r="C91" s="25"/>
      <c r="D91" s="25"/>
      <c r="E91" s="25"/>
      <c r="F91" s="25"/>
      <c r="G91" s="25"/>
      <c r="H91" s="25"/>
    </row>
    <row r="92" spans="1:8" hidden="1" x14ac:dyDescent="0.3">
      <c r="A92" s="25"/>
      <c r="B92" s="25"/>
      <c r="C92" s="25"/>
      <c r="D92" s="25"/>
      <c r="E92" s="25"/>
      <c r="F92" s="25"/>
      <c r="G92" s="25"/>
      <c r="H92" s="25"/>
    </row>
    <row r="93" spans="1:8" hidden="1" x14ac:dyDescent="0.3">
      <c r="A93" s="25"/>
      <c r="B93" s="25"/>
      <c r="C93" s="25"/>
      <c r="D93" s="25"/>
      <c r="E93" s="25"/>
      <c r="F93" s="25"/>
      <c r="G93" s="25"/>
      <c r="H93" s="25"/>
    </row>
    <row r="94" spans="1:8" hidden="1" x14ac:dyDescent="0.3">
      <c r="A94" s="25"/>
      <c r="B94" s="25"/>
      <c r="C94" s="25"/>
      <c r="D94" s="25"/>
      <c r="E94" s="25"/>
      <c r="F94" s="25"/>
      <c r="G94" s="25"/>
      <c r="H94" s="25"/>
    </row>
    <row r="95" spans="1:8" hidden="1" x14ac:dyDescent="0.3">
      <c r="A95" s="25"/>
      <c r="B95" s="25"/>
      <c r="C95" s="25"/>
      <c r="D95" s="25"/>
      <c r="E95" s="25"/>
      <c r="F95" s="25"/>
      <c r="G95" s="25"/>
      <c r="H95" s="25"/>
    </row>
    <row r="96" spans="1:8" hidden="1" x14ac:dyDescent="0.3">
      <c r="A96" s="25"/>
      <c r="B96" s="25"/>
      <c r="C96" s="25"/>
      <c r="D96" s="25"/>
      <c r="E96" s="25"/>
      <c r="F96" s="25"/>
      <c r="G96" s="25"/>
      <c r="H96" s="25"/>
    </row>
    <row r="97" spans="1:8" hidden="1" x14ac:dyDescent="0.3">
      <c r="A97" s="25"/>
      <c r="B97" s="25"/>
      <c r="C97" s="25"/>
      <c r="D97" s="25"/>
      <c r="E97" s="25"/>
      <c r="F97" s="25"/>
      <c r="G97" s="25"/>
      <c r="H97" s="25"/>
    </row>
    <row r="98" spans="1:8" hidden="1" x14ac:dyDescent="0.3">
      <c r="A98" s="25"/>
      <c r="B98" s="25"/>
      <c r="C98" s="25"/>
      <c r="D98" s="25"/>
      <c r="E98" s="25"/>
      <c r="F98" s="25"/>
      <c r="G98" s="25"/>
      <c r="H98" s="25"/>
    </row>
    <row r="99" spans="1:8" hidden="1" x14ac:dyDescent="0.3">
      <c r="A99" s="25"/>
      <c r="B99" s="25"/>
      <c r="C99" s="25"/>
      <c r="D99" s="25"/>
      <c r="E99" s="25"/>
      <c r="F99" s="25"/>
      <c r="G99" s="25"/>
      <c r="H99" s="25"/>
    </row>
    <row r="100" spans="1:8" hidden="1" x14ac:dyDescent="0.3">
      <c r="A100" s="25"/>
      <c r="B100" s="25"/>
      <c r="C100" s="25"/>
      <c r="D100" s="25"/>
      <c r="E100" s="25"/>
      <c r="F100" s="25"/>
      <c r="G100" s="25"/>
      <c r="H100" s="25"/>
    </row>
    <row r="101" spans="1:8" hidden="1" x14ac:dyDescent="0.3">
      <c r="A101" s="25"/>
      <c r="B101" s="25"/>
      <c r="C101" s="25"/>
      <c r="D101" s="25"/>
      <c r="E101" s="25"/>
      <c r="F101" s="25"/>
      <c r="G101" s="25"/>
      <c r="H101" s="25"/>
    </row>
    <row r="102" spans="1:8" hidden="1" x14ac:dyDescent="0.3">
      <c r="A102" s="25"/>
      <c r="B102" s="25"/>
      <c r="C102" s="25"/>
      <c r="D102" s="25"/>
      <c r="E102" s="25"/>
      <c r="F102" s="25"/>
      <c r="G102" s="25"/>
      <c r="H102" s="25"/>
    </row>
    <row r="103" spans="1:8" hidden="1" x14ac:dyDescent="0.3">
      <c r="A103" s="25"/>
      <c r="B103" s="25"/>
      <c r="C103" s="25"/>
      <c r="D103" s="25"/>
      <c r="E103" s="25"/>
      <c r="F103" s="25"/>
      <c r="G103" s="25"/>
      <c r="H103" s="25"/>
    </row>
    <row r="104" spans="1:8" hidden="1" x14ac:dyDescent="0.3">
      <c r="A104" s="25"/>
      <c r="B104" s="25"/>
      <c r="C104" s="25"/>
      <c r="D104" s="25"/>
      <c r="E104" s="25"/>
      <c r="F104" s="25"/>
      <c r="G104" s="25"/>
      <c r="H104" s="25"/>
    </row>
    <row r="105" spans="1:8" hidden="1" x14ac:dyDescent="0.3">
      <c r="A105" s="25"/>
      <c r="B105" s="25"/>
      <c r="C105" s="25"/>
      <c r="D105" s="25"/>
      <c r="E105" s="25"/>
      <c r="F105" s="25"/>
      <c r="G105" s="25"/>
      <c r="H105" s="25"/>
    </row>
    <row r="106" spans="1:8" hidden="1" x14ac:dyDescent="0.3">
      <c r="A106" s="25"/>
      <c r="B106" s="25"/>
      <c r="C106" s="25"/>
      <c r="D106" s="25"/>
      <c r="E106" s="25"/>
      <c r="F106" s="25"/>
      <c r="G106" s="25"/>
      <c r="H106" s="25"/>
    </row>
    <row r="107" spans="1:8" hidden="1" x14ac:dyDescent="0.3">
      <c r="A107" s="25"/>
      <c r="B107" s="25"/>
      <c r="C107" s="25"/>
      <c r="D107" s="25"/>
      <c r="E107" s="25"/>
      <c r="F107" s="25"/>
      <c r="G107" s="25"/>
      <c r="H107" s="25"/>
    </row>
    <row r="108" spans="1:8" hidden="1" x14ac:dyDescent="0.3">
      <c r="A108" s="25"/>
      <c r="B108" s="25"/>
      <c r="C108" s="25"/>
      <c r="D108" s="25"/>
      <c r="E108" s="25"/>
      <c r="F108" s="25"/>
      <c r="G108" s="25"/>
      <c r="H108" s="25"/>
    </row>
    <row r="109" spans="1:8" hidden="1" x14ac:dyDescent="0.3">
      <c r="A109" s="25"/>
      <c r="B109" s="25"/>
      <c r="C109" s="25"/>
      <c r="D109" s="25"/>
      <c r="E109" s="25"/>
      <c r="F109" s="25"/>
      <c r="G109" s="25"/>
      <c r="H109" s="25"/>
    </row>
    <row r="110" spans="1:8" hidden="1" x14ac:dyDescent="0.3">
      <c r="A110" s="25"/>
      <c r="B110" s="25"/>
      <c r="C110" s="25"/>
      <c r="D110" s="25"/>
      <c r="E110" s="25"/>
      <c r="F110" s="25"/>
      <c r="G110" s="25"/>
      <c r="H110" s="25"/>
    </row>
    <row r="111" spans="1:8" hidden="1" x14ac:dyDescent="0.3">
      <c r="A111" s="25"/>
      <c r="B111" s="25"/>
      <c r="C111" s="25"/>
      <c r="D111" s="25"/>
      <c r="E111" s="25"/>
      <c r="F111" s="25"/>
      <c r="G111" s="25"/>
      <c r="H111" s="25"/>
    </row>
    <row r="112" spans="1:8" hidden="1" x14ac:dyDescent="0.3">
      <c r="A112" s="25"/>
      <c r="B112" s="25"/>
      <c r="C112" s="25"/>
      <c r="D112" s="25"/>
      <c r="E112" s="25"/>
      <c r="F112" s="25"/>
      <c r="G112" s="25"/>
      <c r="H112" s="25"/>
    </row>
    <row r="113" spans="1:8" hidden="1" x14ac:dyDescent="0.3">
      <c r="A113" s="25"/>
      <c r="B113" s="25"/>
      <c r="C113" s="25"/>
      <c r="D113" s="25"/>
      <c r="E113" s="25"/>
      <c r="F113" s="25"/>
      <c r="G113" s="25"/>
      <c r="H113" s="25"/>
    </row>
    <row r="114" spans="1:8" hidden="1" x14ac:dyDescent="0.3">
      <c r="A114" s="25"/>
      <c r="B114" s="25"/>
      <c r="C114" s="25"/>
      <c r="D114" s="25"/>
      <c r="E114" s="25"/>
      <c r="F114" s="25"/>
      <c r="G114" s="25"/>
      <c r="H114" s="25"/>
    </row>
    <row r="115" spans="1:8" hidden="1" x14ac:dyDescent="0.3">
      <c r="A115" s="25"/>
      <c r="B115" s="25"/>
      <c r="C115" s="25"/>
      <c r="D115" s="25"/>
      <c r="E115" s="25"/>
      <c r="F115" s="25"/>
      <c r="G115" s="25"/>
      <c r="H115" s="25"/>
    </row>
    <row r="116" spans="1:8" hidden="1" x14ac:dyDescent="0.3">
      <c r="A116" s="25"/>
      <c r="B116" s="25"/>
      <c r="C116" s="25"/>
      <c r="D116" s="25"/>
      <c r="E116" s="25"/>
      <c r="F116" s="25"/>
      <c r="G116" s="25"/>
      <c r="H116" s="25"/>
    </row>
    <row r="117" spans="1:8" hidden="1" x14ac:dyDescent="0.3">
      <c r="A117" s="25"/>
      <c r="B117" s="25"/>
      <c r="C117" s="25"/>
      <c r="D117" s="25"/>
      <c r="E117" s="25"/>
      <c r="F117" s="25"/>
      <c r="G117" s="25"/>
      <c r="H117" s="25"/>
    </row>
    <row r="118" spans="1:8" hidden="1" x14ac:dyDescent="0.3">
      <c r="A118" s="25"/>
      <c r="B118" s="25"/>
      <c r="C118" s="25"/>
      <c r="D118" s="25"/>
      <c r="E118" s="25"/>
      <c r="F118" s="25"/>
      <c r="G118" s="25"/>
      <c r="H118" s="25"/>
    </row>
    <row r="119" spans="1:8" hidden="1" x14ac:dyDescent="0.3">
      <c r="A119" s="25"/>
      <c r="B119" s="25"/>
      <c r="C119" s="25"/>
      <c r="D119" s="25"/>
      <c r="E119" s="25"/>
      <c r="F119" s="25"/>
      <c r="G119" s="25"/>
      <c r="H119" s="25"/>
    </row>
    <row r="120" spans="1:8" hidden="1" x14ac:dyDescent="0.3">
      <c r="A120" s="25"/>
      <c r="B120" s="25"/>
      <c r="C120" s="25"/>
      <c r="D120" s="25"/>
      <c r="E120" s="25"/>
      <c r="F120" s="25"/>
      <c r="G120" s="25"/>
      <c r="H120" s="25"/>
    </row>
    <row r="121" spans="1:8" hidden="1" x14ac:dyDescent="0.3">
      <c r="A121" s="25"/>
      <c r="B121" s="25"/>
      <c r="C121" s="25"/>
      <c r="D121" s="25"/>
      <c r="E121" s="25"/>
      <c r="F121" s="25"/>
      <c r="G121" s="25"/>
      <c r="H121" s="25"/>
    </row>
    <row r="122" spans="1:8" hidden="1" x14ac:dyDescent="0.3">
      <c r="A122" s="25"/>
      <c r="B122" s="25"/>
      <c r="C122" s="25"/>
      <c r="D122" s="25"/>
      <c r="E122" s="25"/>
      <c r="F122" s="25"/>
      <c r="G122" s="25"/>
      <c r="H122" s="25"/>
    </row>
    <row r="123" spans="1:8" hidden="1" x14ac:dyDescent="0.3">
      <c r="A123" s="25"/>
      <c r="B123" s="25"/>
      <c r="C123" s="25"/>
      <c r="D123" s="25"/>
      <c r="E123" s="25"/>
      <c r="F123" s="25"/>
      <c r="G123" s="25"/>
      <c r="H123" s="25"/>
    </row>
    <row r="124" spans="1:8" hidden="1" x14ac:dyDescent="0.3">
      <c r="A124" s="25"/>
      <c r="B124" s="25"/>
      <c r="C124" s="25"/>
      <c r="D124" s="25"/>
      <c r="E124" s="25"/>
      <c r="F124" s="25"/>
      <c r="G124" s="25"/>
      <c r="H124" s="25"/>
    </row>
    <row r="125" spans="1:8" hidden="1" x14ac:dyDescent="0.3">
      <c r="A125" s="25"/>
      <c r="B125" s="25"/>
      <c r="C125" s="25"/>
      <c r="D125" s="25"/>
      <c r="E125" s="25"/>
      <c r="F125" s="25"/>
      <c r="G125" s="25"/>
      <c r="H125" s="25"/>
    </row>
    <row r="126" spans="1:8" hidden="1" x14ac:dyDescent="0.3">
      <c r="A126" s="25"/>
      <c r="B126" s="25"/>
      <c r="C126" s="25"/>
      <c r="D126" s="25"/>
      <c r="E126" s="25"/>
      <c r="F126" s="25"/>
      <c r="G126" s="25"/>
      <c r="H126" s="25"/>
    </row>
    <row r="127" spans="1:8" hidden="1" x14ac:dyDescent="0.3">
      <c r="A127" s="25"/>
      <c r="B127" s="25"/>
      <c r="C127" s="25"/>
      <c r="D127" s="25"/>
      <c r="E127" s="25"/>
      <c r="F127" s="25"/>
      <c r="G127" s="25"/>
      <c r="H127" s="25"/>
    </row>
    <row r="128" spans="1:8" hidden="1" x14ac:dyDescent="0.3">
      <c r="A128" s="25"/>
      <c r="B128" s="25"/>
      <c r="C128" s="25"/>
      <c r="D128" s="25"/>
      <c r="E128" s="25"/>
      <c r="F128" s="25"/>
      <c r="G128" s="25"/>
      <c r="H128" s="25"/>
    </row>
    <row r="129" spans="1:8" hidden="1" x14ac:dyDescent="0.3">
      <c r="A129" s="25"/>
      <c r="B129" s="25"/>
      <c r="C129" s="25"/>
      <c r="D129" s="25"/>
      <c r="E129" s="25"/>
      <c r="F129" s="25"/>
      <c r="G129" s="25"/>
      <c r="H129" s="25"/>
    </row>
    <row r="130" spans="1:8" hidden="1" x14ac:dyDescent="0.3">
      <c r="A130" s="25"/>
      <c r="B130" s="25"/>
      <c r="C130" s="25"/>
      <c r="D130" s="25"/>
      <c r="E130" s="25"/>
      <c r="F130" s="25"/>
      <c r="G130" s="25"/>
      <c r="H130" s="25"/>
    </row>
    <row r="131" spans="1:8" hidden="1" x14ac:dyDescent="0.3">
      <c r="A131" s="25"/>
      <c r="B131" s="25"/>
      <c r="C131" s="25"/>
      <c r="D131" s="25"/>
      <c r="E131" s="25"/>
      <c r="F131" s="25"/>
      <c r="G131" s="25"/>
      <c r="H131" s="25"/>
    </row>
    <row r="132" spans="1:8" hidden="1" x14ac:dyDescent="0.3">
      <c r="A132" s="25"/>
      <c r="B132" s="25"/>
      <c r="C132" s="25"/>
      <c r="D132" s="25"/>
      <c r="E132" s="25"/>
      <c r="F132" s="25"/>
      <c r="G132" s="25"/>
      <c r="H132" s="25"/>
    </row>
    <row r="133" spans="1:8" hidden="1" x14ac:dyDescent="0.3">
      <c r="A133" s="25"/>
      <c r="B133" s="25"/>
      <c r="C133" s="25"/>
      <c r="D133" s="25"/>
      <c r="E133" s="25"/>
      <c r="F133" s="25"/>
      <c r="G133" s="25"/>
      <c r="H133" s="25"/>
    </row>
    <row r="134" spans="1:8" hidden="1" x14ac:dyDescent="0.3">
      <c r="A134" s="25"/>
      <c r="B134" s="25"/>
      <c r="C134" s="25"/>
      <c r="D134" s="25"/>
      <c r="E134" s="25"/>
      <c r="F134" s="25"/>
      <c r="G134" s="25"/>
      <c r="H134" s="25"/>
    </row>
    <row r="135" spans="1:8" hidden="1" x14ac:dyDescent="0.3">
      <c r="A135" s="25"/>
      <c r="B135" s="25"/>
      <c r="C135" s="25"/>
      <c r="D135" s="25"/>
      <c r="E135" s="25"/>
      <c r="F135" s="25"/>
      <c r="G135" s="25"/>
      <c r="H135" s="25"/>
    </row>
    <row r="136" spans="1:8" hidden="1" x14ac:dyDescent="0.3">
      <c r="A136" s="25"/>
      <c r="B136" s="25"/>
      <c r="C136" s="25"/>
      <c r="D136" s="25"/>
      <c r="E136" s="25"/>
      <c r="F136" s="25"/>
      <c r="G136" s="25"/>
      <c r="H136" s="25"/>
    </row>
    <row r="137" spans="1:8" hidden="1" x14ac:dyDescent="0.3">
      <c r="A137" s="25"/>
      <c r="B137" s="25"/>
      <c r="C137" s="25"/>
      <c r="D137" s="25"/>
      <c r="E137" s="25"/>
      <c r="F137" s="25"/>
      <c r="G137" s="25"/>
      <c r="H137" s="25"/>
    </row>
    <row r="138" spans="1:8" hidden="1" x14ac:dyDescent="0.3">
      <c r="A138" s="25"/>
      <c r="B138" s="25"/>
      <c r="C138" s="25"/>
      <c r="D138" s="25"/>
      <c r="E138" s="25"/>
      <c r="F138" s="25"/>
      <c r="G138" s="25"/>
      <c r="H138" s="25"/>
    </row>
    <row r="139" spans="1:8" hidden="1" x14ac:dyDescent="0.3">
      <c r="A139" s="25"/>
      <c r="B139" s="25"/>
      <c r="C139" s="25"/>
      <c r="D139" s="25"/>
      <c r="E139" s="25"/>
      <c r="F139" s="25"/>
      <c r="G139" s="25"/>
      <c r="H139" s="25"/>
    </row>
    <row r="140" spans="1:8" hidden="1" x14ac:dyDescent="0.3">
      <c r="A140" s="25"/>
      <c r="B140" s="25"/>
      <c r="C140" s="25"/>
      <c r="D140" s="25"/>
      <c r="E140" s="25"/>
      <c r="F140" s="25"/>
      <c r="G140" s="25"/>
      <c r="H140" s="25"/>
    </row>
    <row r="141" spans="1:8" hidden="1" x14ac:dyDescent="0.3">
      <c r="A141" s="25"/>
      <c r="B141" s="25"/>
      <c r="C141" s="25"/>
      <c r="D141" s="25"/>
      <c r="E141" s="25"/>
      <c r="F141" s="25"/>
      <c r="G141" s="25"/>
      <c r="H141" s="25"/>
    </row>
    <row r="142" spans="1:8" hidden="1" x14ac:dyDescent="0.3">
      <c r="A142" s="25"/>
      <c r="B142" s="25"/>
      <c r="C142" s="25"/>
      <c r="D142" s="25"/>
      <c r="E142" s="25"/>
      <c r="F142" s="25"/>
      <c r="G142" s="25"/>
      <c r="H142" s="25"/>
    </row>
    <row r="143" spans="1:8" hidden="1" x14ac:dyDescent="0.3">
      <c r="A143" s="25"/>
      <c r="B143" s="25"/>
      <c r="C143" s="25"/>
      <c r="D143" s="25"/>
      <c r="E143" s="25"/>
      <c r="F143" s="25"/>
      <c r="G143" s="25"/>
      <c r="H143" s="25"/>
    </row>
    <row r="144" spans="1:8" hidden="1" x14ac:dyDescent="0.3">
      <c r="A144" s="25"/>
      <c r="B144" s="25"/>
      <c r="C144" s="25"/>
      <c r="D144" s="25"/>
      <c r="E144" s="25"/>
      <c r="F144" s="25"/>
      <c r="G144" s="25"/>
      <c r="H144" s="25"/>
    </row>
    <row r="145" spans="1:8" hidden="1" x14ac:dyDescent="0.3">
      <c r="A145" s="25"/>
      <c r="B145" s="25"/>
      <c r="C145" s="25"/>
      <c r="D145" s="25"/>
      <c r="E145" s="25"/>
      <c r="F145" s="25"/>
      <c r="G145" s="25"/>
      <c r="H145" s="25"/>
    </row>
    <row r="146" spans="1:8" hidden="1" x14ac:dyDescent="0.3">
      <c r="A146" s="25"/>
      <c r="B146" s="25"/>
      <c r="C146" s="25"/>
      <c r="D146" s="25"/>
      <c r="E146" s="25"/>
      <c r="F146" s="25"/>
      <c r="G146" s="25"/>
      <c r="H146" s="25"/>
    </row>
    <row r="147" spans="1:8" hidden="1" x14ac:dyDescent="0.3">
      <c r="A147" s="25"/>
      <c r="B147" s="25"/>
      <c r="C147" s="25"/>
      <c r="D147" s="25"/>
      <c r="E147" s="25"/>
      <c r="F147" s="25"/>
      <c r="G147" s="25"/>
      <c r="H147" s="25"/>
    </row>
    <row r="148" spans="1:8" hidden="1" x14ac:dyDescent="0.3">
      <c r="A148" s="25"/>
      <c r="B148" s="25"/>
      <c r="C148" s="25"/>
      <c r="D148" s="25"/>
      <c r="E148" s="25"/>
      <c r="F148" s="25"/>
      <c r="G148" s="25"/>
      <c r="H148" s="25"/>
    </row>
    <row r="149" spans="1:8" hidden="1" x14ac:dyDescent="0.3">
      <c r="A149" s="25"/>
      <c r="B149" s="25"/>
      <c r="C149" s="25"/>
      <c r="D149" s="25"/>
      <c r="E149" s="25"/>
      <c r="F149" s="25"/>
      <c r="G149" s="25"/>
      <c r="H149" s="25"/>
    </row>
    <row r="150" spans="1:8" hidden="1" x14ac:dyDescent="0.3">
      <c r="A150" s="25"/>
      <c r="B150" s="25"/>
      <c r="C150" s="25"/>
      <c r="D150" s="25"/>
      <c r="E150" s="25"/>
      <c r="F150" s="25"/>
      <c r="G150" s="25"/>
      <c r="H150" s="25"/>
    </row>
    <row r="151" spans="1:8" hidden="1" x14ac:dyDescent="0.3">
      <c r="A151" s="25"/>
      <c r="B151" s="25"/>
      <c r="C151" s="25"/>
    </row>
    <row r="152" spans="1:8" hidden="1" x14ac:dyDescent="0.3">
      <c r="A152" s="25"/>
      <c r="B152" s="25"/>
      <c r="C152" s="25"/>
    </row>
    <row r="153" spans="1:8" hidden="1" x14ac:dyDescent="0.3">
      <c r="A153" s="25"/>
      <c r="B153" s="25"/>
      <c r="C153" s="25"/>
    </row>
    <row r="154" spans="1:8" hidden="1" x14ac:dyDescent="0.3">
      <c r="A154" s="25"/>
      <c r="B154" s="25"/>
      <c r="C154" s="25"/>
    </row>
    <row r="155" spans="1:8" hidden="1" x14ac:dyDescent="0.3">
      <c r="A155" s="25"/>
      <c r="B155" s="25"/>
      <c r="C155" s="25"/>
    </row>
    <row r="156" spans="1:8" hidden="1" x14ac:dyDescent="0.3">
      <c r="A156" s="25"/>
      <c r="B156" s="25"/>
      <c r="C156" s="25"/>
    </row>
    <row r="157" spans="1:8" hidden="1" x14ac:dyDescent="0.3">
      <c r="A157" s="25"/>
      <c r="B157" s="25"/>
      <c r="C157" s="25"/>
    </row>
  </sheetData>
  <sheetProtection algorithmName="SHA-512" hashValue="EmqrClNIRDnSxrV/2MQgHeJifKtVm0+/6N01XW+bfpiDhMztKlscttsSL6HPPG2Uwv0GS+6K/y971SbZpwRhVg==" saltValue="dWdqNwtSu44KuHj9+KImXQ==" spinCount="100000" sheet="1" autoFilter="0"/>
  <autoFilter ref="B2:F83" xr:uid="{F4E88DCA-BBF0-448D-8F1A-DC56AA886802}"/>
  <mergeCells count="22">
    <mergeCell ref="B80:B83"/>
    <mergeCell ref="C80:C81"/>
    <mergeCell ref="B52:B53"/>
    <mergeCell ref="B54:B56"/>
    <mergeCell ref="B57:B58"/>
    <mergeCell ref="B59:B79"/>
    <mergeCell ref="C64:C65"/>
    <mergeCell ref="C68:C69"/>
    <mergeCell ref="C77:C78"/>
    <mergeCell ref="B42:B51"/>
    <mergeCell ref="B4:B14"/>
    <mergeCell ref="C4:C7"/>
    <mergeCell ref="C8:C12"/>
    <mergeCell ref="B15:B19"/>
    <mergeCell ref="C17:C19"/>
    <mergeCell ref="B20:B27"/>
    <mergeCell ref="C21:C27"/>
    <mergeCell ref="B28:B38"/>
    <mergeCell ref="C28:C30"/>
    <mergeCell ref="C31:C33"/>
    <mergeCell ref="C35:C38"/>
    <mergeCell ref="B39:B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BC1FC-599F-4926-A32A-1E367FA2FBD2}">
  <sheetPr codeName="Sheet6">
    <tabColor theme="0" tint="-0.249977111117893"/>
    <pageSetUpPr fitToPage="1"/>
  </sheetPr>
  <dimension ref="A1:K39"/>
  <sheetViews>
    <sheetView zoomScale="80" zoomScaleNormal="80" workbookViewId="0">
      <selection activeCell="D11" sqref="D11"/>
    </sheetView>
  </sheetViews>
  <sheetFormatPr defaultColWidth="0" defaultRowHeight="0" customHeight="1" zeroHeight="1" x14ac:dyDescent="0.3"/>
  <cols>
    <col min="1" max="1" width="4.5546875" customWidth="1"/>
    <col min="2" max="3" width="39.21875" customWidth="1"/>
    <col min="4" max="4" width="70.77734375" customWidth="1"/>
    <col min="5" max="5" width="6" customWidth="1"/>
    <col min="6" max="6" width="13.77734375" customWidth="1"/>
    <col min="7" max="11" width="8.77734375" customWidth="1"/>
    <col min="12" max="16384" width="8.77734375" hidden="1"/>
  </cols>
  <sheetData>
    <row r="1" spans="1:11" ht="15" thickBot="1" x14ac:dyDescent="0.35">
      <c r="A1" s="25"/>
      <c r="B1" s="25"/>
      <c r="C1" s="25"/>
      <c r="D1" s="25"/>
      <c r="E1" s="25"/>
      <c r="F1" s="25"/>
      <c r="G1" s="25"/>
      <c r="H1" s="25"/>
      <c r="I1" s="25"/>
      <c r="J1" s="25"/>
      <c r="K1" s="25"/>
    </row>
    <row r="2" spans="1:11" ht="32.549999999999997" customHeight="1" thickBot="1" x14ac:dyDescent="0.35">
      <c r="A2" s="25"/>
      <c r="B2" s="621" t="s">
        <v>13</v>
      </c>
      <c r="C2" s="622"/>
      <c r="D2" s="260" t="s">
        <v>14</v>
      </c>
      <c r="E2" s="40"/>
      <c r="F2" s="25"/>
      <c r="G2" s="25"/>
      <c r="H2" s="25"/>
      <c r="I2" s="25"/>
      <c r="J2" s="25"/>
      <c r="K2" s="25"/>
    </row>
    <row r="3" spans="1:11" ht="42" customHeight="1" x14ac:dyDescent="0.3">
      <c r="A3" s="25"/>
      <c r="B3" s="623" t="s">
        <v>15</v>
      </c>
      <c r="C3" s="624"/>
      <c r="D3" s="31" t="s">
        <v>1051</v>
      </c>
      <c r="E3" s="25"/>
      <c r="F3" s="25"/>
      <c r="G3" s="25"/>
      <c r="H3" s="25"/>
      <c r="I3" s="25"/>
      <c r="J3" s="25"/>
      <c r="K3" s="25"/>
    </row>
    <row r="4" spans="1:11" ht="42" customHeight="1" x14ac:dyDescent="0.3">
      <c r="A4" s="25"/>
      <c r="B4" s="619" t="s">
        <v>16</v>
      </c>
      <c r="C4" s="620"/>
      <c r="D4" s="32" t="s">
        <v>1052</v>
      </c>
      <c r="E4" s="25"/>
      <c r="F4" s="25"/>
      <c r="G4" s="25"/>
      <c r="H4" s="25"/>
      <c r="I4" s="25"/>
      <c r="J4" s="25"/>
      <c r="K4" s="25"/>
    </row>
    <row r="5" spans="1:11" ht="42" customHeight="1" x14ac:dyDescent="0.3">
      <c r="A5" s="25"/>
      <c r="B5" s="619" t="s">
        <v>17</v>
      </c>
      <c r="C5" s="620"/>
      <c r="D5" s="32" t="s">
        <v>1053</v>
      </c>
      <c r="E5" s="25"/>
      <c r="F5" s="25"/>
      <c r="G5" s="25"/>
      <c r="H5" s="25"/>
      <c r="I5" s="25"/>
      <c r="J5" s="25"/>
      <c r="K5" s="25"/>
    </row>
    <row r="6" spans="1:11" ht="42" customHeight="1" x14ac:dyDescent="0.3">
      <c r="A6" s="25"/>
      <c r="B6" s="619" t="s">
        <v>18</v>
      </c>
      <c r="C6" s="620"/>
      <c r="D6" s="32" t="s">
        <v>460</v>
      </c>
      <c r="E6" s="25"/>
      <c r="F6" s="25"/>
      <c r="G6" s="25"/>
      <c r="H6" s="25"/>
      <c r="I6" s="25"/>
      <c r="J6" s="25"/>
      <c r="K6" s="25"/>
    </row>
    <row r="7" spans="1:11" ht="42" customHeight="1" x14ac:dyDescent="0.3">
      <c r="A7" s="25"/>
      <c r="B7" s="619" t="s">
        <v>19</v>
      </c>
      <c r="C7" s="620"/>
      <c r="D7" s="32" t="s">
        <v>1054</v>
      </c>
      <c r="E7" s="25"/>
      <c r="F7" s="25"/>
      <c r="G7" s="25"/>
      <c r="H7" s="25"/>
      <c r="I7" s="25"/>
      <c r="J7" s="25"/>
      <c r="K7" s="25"/>
    </row>
    <row r="8" spans="1:11" ht="42" customHeight="1" x14ac:dyDescent="0.3">
      <c r="A8" s="25"/>
      <c r="B8" s="619" t="s">
        <v>20</v>
      </c>
      <c r="C8" s="620"/>
      <c r="D8" s="32" t="s">
        <v>1055</v>
      </c>
      <c r="E8" s="25"/>
      <c r="F8" s="25"/>
      <c r="G8" s="25"/>
      <c r="H8" s="25"/>
      <c r="I8" s="25"/>
      <c r="J8" s="25"/>
      <c r="K8" s="25"/>
    </row>
    <row r="9" spans="1:11" ht="42" customHeight="1" x14ac:dyDescent="0.3">
      <c r="A9" s="25"/>
      <c r="B9" s="619" t="s">
        <v>21</v>
      </c>
      <c r="C9" s="620"/>
      <c r="D9" s="287">
        <v>45912</v>
      </c>
      <c r="E9" s="25"/>
      <c r="F9" s="25"/>
      <c r="G9" s="25"/>
      <c r="H9" s="25"/>
      <c r="I9" s="25"/>
      <c r="J9" s="25"/>
      <c r="K9" s="25"/>
    </row>
    <row r="10" spans="1:11" ht="42" customHeight="1" x14ac:dyDescent="0.3">
      <c r="A10" s="25"/>
      <c r="B10" s="619" t="s">
        <v>22</v>
      </c>
      <c r="C10" s="620"/>
      <c r="D10" s="32"/>
      <c r="E10" s="25"/>
      <c r="F10" s="25"/>
      <c r="G10" s="25"/>
      <c r="H10" s="25"/>
      <c r="I10" s="25"/>
      <c r="J10" s="25"/>
      <c r="K10" s="25"/>
    </row>
    <row r="11" spans="1:11" ht="42" customHeight="1" thickBot="1" x14ac:dyDescent="0.35">
      <c r="A11" s="25"/>
      <c r="B11" s="625" t="s">
        <v>23</v>
      </c>
      <c r="C11" s="626"/>
      <c r="D11" s="201" t="s">
        <v>1056</v>
      </c>
      <c r="E11" s="25"/>
      <c r="F11" s="25"/>
      <c r="G11" s="25"/>
      <c r="H11" s="25"/>
      <c r="I11" s="25"/>
      <c r="J11" s="25"/>
      <c r="K11" s="25"/>
    </row>
    <row r="12" spans="1:11" ht="42" customHeight="1" thickBot="1" x14ac:dyDescent="0.65">
      <c r="A12" s="25"/>
      <c r="B12" s="56" t="s">
        <v>24</v>
      </c>
      <c r="C12" s="145"/>
      <c r="D12" s="146"/>
      <c r="E12" s="25"/>
      <c r="F12" s="25"/>
      <c r="G12" s="25"/>
      <c r="H12" s="25"/>
      <c r="I12" s="25"/>
      <c r="J12" s="25"/>
      <c r="K12" s="25"/>
    </row>
    <row r="13" spans="1:11" ht="42" customHeight="1" x14ac:dyDescent="0.3">
      <c r="A13" s="25"/>
      <c r="B13" s="628" t="s">
        <v>25</v>
      </c>
      <c r="C13" s="147" t="s">
        <v>1043</v>
      </c>
      <c r="D13" s="33">
        <v>10</v>
      </c>
      <c r="E13" s="632" t="str">
        <f>IF(D13&lt;10,"Caution - % target reduced below default ▲",IF(D13&gt;10,"Caution -Target increased above default ⚠",""))</f>
        <v/>
      </c>
      <c r="F13" s="633"/>
      <c r="G13" s="633"/>
      <c r="H13" s="633"/>
      <c r="I13" s="633"/>
      <c r="J13" s="435"/>
      <c r="K13" s="25"/>
    </row>
    <row r="14" spans="1:11" ht="42" customHeight="1" x14ac:dyDescent="0.3">
      <c r="A14" s="25"/>
      <c r="B14" s="629"/>
      <c r="C14" s="148" t="s">
        <v>1044</v>
      </c>
      <c r="D14" s="34">
        <v>10</v>
      </c>
      <c r="E14" s="632" t="str">
        <f t="shared" ref="E14:E15" si="0">IF(D14&lt;10,"Caution - % target reduced below default ▲",IF(D14&gt;10,"Caution -Target increased above default ⚠",""))</f>
        <v/>
      </c>
      <c r="F14" s="633"/>
      <c r="G14" s="633"/>
      <c r="H14" s="633"/>
      <c r="I14" s="633"/>
      <c r="J14" s="25"/>
      <c r="K14" s="25"/>
    </row>
    <row r="15" spans="1:11" ht="42" customHeight="1" thickBot="1" x14ac:dyDescent="0.35">
      <c r="A15" s="25"/>
      <c r="B15" s="630"/>
      <c r="C15" s="149" t="s">
        <v>26</v>
      </c>
      <c r="D15" s="35">
        <v>10</v>
      </c>
      <c r="E15" s="632" t="str">
        <f t="shared" si="0"/>
        <v/>
      </c>
      <c r="F15" s="633"/>
      <c r="G15" s="633"/>
      <c r="H15" s="633"/>
      <c r="I15" s="633"/>
      <c r="J15" s="25"/>
      <c r="K15" s="25"/>
    </row>
    <row r="16" spans="1:11" ht="36.6" customHeight="1" thickBot="1" x14ac:dyDescent="0.35">
      <c r="A16" s="25"/>
      <c r="B16" s="153"/>
      <c r="C16" s="153"/>
      <c r="D16" s="501"/>
      <c r="E16" s="25"/>
      <c r="F16" s="25"/>
      <c r="G16" s="25"/>
      <c r="H16" s="25"/>
      <c r="I16" s="25"/>
      <c r="J16" s="25"/>
      <c r="K16" s="25"/>
    </row>
    <row r="17" spans="1:11" ht="40.950000000000003" customHeight="1" x14ac:dyDescent="0.3">
      <c r="A17" s="25"/>
      <c r="B17" s="628" t="s">
        <v>1028</v>
      </c>
      <c r="C17" s="147" t="s">
        <v>1045</v>
      </c>
      <c r="D17" s="33">
        <v>0</v>
      </c>
      <c r="E17" s="631" t="str">
        <f>IF(D17=0,"","Unit increase Targets must be agreed with LPA ⚠")</f>
        <v/>
      </c>
      <c r="F17" s="631"/>
      <c r="G17" s="631"/>
      <c r="H17" s="631"/>
      <c r="I17" s="631"/>
      <c r="J17" s="25"/>
      <c r="K17" s="25"/>
    </row>
    <row r="18" spans="1:11" ht="40.950000000000003" customHeight="1" x14ac:dyDescent="0.3">
      <c r="A18" s="25"/>
      <c r="B18" s="629"/>
      <c r="C18" s="148" t="s">
        <v>27</v>
      </c>
      <c r="D18" s="34">
        <v>0</v>
      </c>
      <c r="E18" s="631" t="str">
        <f t="shared" ref="E18:E19" si="1">IF(D18=0,"","Unit increase Targets must be agreed with LPA ⚠")</f>
        <v/>
      </c>
      <c r="F18" s="631"/>
      <c r="G18" s="631"/>
      <c r="H18" s="631"/>
      <c r="I18" s="631"/>
      <c r="J18" s="25"/>
      <c r="K18" s="25"/>
    </row>
    <row r="19" spans="1:11" ht="40.950000000000003" customHeight="1" thickBot="1" x14ac:dyDescent="0.35">
      <c r="A19" s="25"/>
      <c r="B19" s="630"/>
      <c r="C19" s="149" t="s">
        <v>28</v>
      </c>
      <c r="D19" s="35">
        <v>0</v>
      </c>
      <c r="E19" s="631" t="str">
        <f t="shared" si="1"/>
        <v/>
      </c>
      <c r="F19" s="631"/>
      <c r="G19" s="631"/>
      <c r="H19" s="631"/>
      <c r="I19" s="631"/>
      <c r="J19" s="25"/>
      <c r="K19" s="25"/>
    </row>
    <row r="20" spans="1:11" ht="23.55" customHeight="1" x14ac:dyDescent="0.3">
      <c r="A20" s="25"/>
      <c r="B20" s="25"/>
      <c r="C20" s="25"/>
      <c r="D20" s="25"/>
      <c r="E20" s="153"/>
      <c r="F20" s="153"/>
      <c r="G20" s="153"/>
      <c r="H20" s="153"/>
      <c r="I20" s="153"/>
      <c r="J20" s="25"/>
      <c r="K20" s="25"/>
    </row>
    <row r="21" spans="1:11" ht="34.200000000000003" customHeight="1" thickBot="1" x14ac:dyDescent="0.35">
      <c r="A21" s="25"/>
      <c r="B21" s="627" t="s">
        <v>29</v>
      </c>
      <c r="C21" s="627"/>
      <c r="D21" s="627"/>
      <c r="E21" s="153"/>
      <c r="F21" s="153"/>
      <c r="G21" s="153"/>
      <c r="H21" s="153"/>
      <c r="I21" s="153"/>
      <c r="J21" s="25"/>
      <c r="K21" s="25"/>
    </row>
    <row r="22" spans="1:11" ht="40.950000000000003" customHeight="1" x14ac:dyDescent="0.3">
      <c r="A22" s="25"/>
      <c r="B22" s="623" t="s">
        <v>30</v>
      </c>
      <c r="C22" s="624"/>
      <c r="D22" s="31"/>
      <c r="E22" s="153"/>
      <c r="F22" s="153"/>
      <c r="G22" s="153"/>
      <c r="H22" s="153"/>
      <c r="I22" s="153"/>
      <c r="J22" s="25"/>
      <c r="K22" s="25"/>
    </row>
    <row r="23" spans="1:11" ht="40.950000000000003" customHeight="1" thickBot="1" x14ac:dyDescent="0.35">
      <c r="A23" s="25"/>
      <c r="B23" s="625" t="s">
        <v>31</v>
      </c>
      <c r="C23" s="626"/>
      <c r="D23" s="288"/>
      <c r="E23" s="153"/>
      <c r="F23" s="153"/>
      <c r="G23" s="153"/>
      <c r="H23" s="153"/>
      <c r="I23" s="153"/>
      <c r="J23" s="25"/>
      <c r="K23" s="25"/>
    </row>
    <row r="24" spans="1:11" ht="40.950000000000003" customHeight="1" x14ac:dyDescent="0.3">
      <c r="A24" s="25"/>
      <c r="B24" s="25"/>
      <c r="C24" s="25"/>
      <c r="D24" s="25"/>
      <c r="E24" s="25"/>
      <c r="F24" s="195"/>
      <c r="G24" s="195"/>
      <c r="H24" s="195"/>
      <c r="I24" s="195"/>
      <c r="J24" s="25"/>
      <c r="K24" s="25"/>
    </row>
    <row r="25" spans="1:11" ht="40.950000000000003" hidden="1" customHeight="1" x14ac:dyDescent="0.3">
      <c r="A25" s="25"/>
      <c r="B25" s="25"/>
      <c r="C25" s="25"/>
      <c r="D25" s="25"/>
      <c r="E25" s="25"/>
      <c r="F25" s="195"/>
      <c r="G25" s="195"/>
      <c r="H25" s="195"/>
      <c r="I25" s="195"/>
      <c r="J25" s="25"/>
      <c r="K25" s="25"/>
    </row>
    <row r="26" spans="1:11" ht="40.950000000000003" hidden="1" customHeight="1" x14ac:dyDescent="0.3">
      <c r="A26" s="25"/>
      <c r="B26" s="25"/>
      <c r="C26" s="25"/>
      <c r="D26" s="25"/>
      <c r="E26" s="25"/>
      <c r="F26" s="195"/>
      <c r="G26" s="195"/>
      <c r="H26" s="195"/>
      <c r="I26" s="195"/>
      <c r="J26" s="25"/>
      <c r="K26" s="25"/>
    </row>
    <row r="27" spans="1:11" ht="40.950000000000003" hidden="1" customHeight="1" x14ac:dyDescent="0.3">
      <c r="A27" s="25"/>
      <c r="B27" s="25"/>
      <c r="C27" s="25"/>
      <c r="D27" s="25"/>
      <c r="E27" s="25"/>
      <c r="F27" s="195"/>
      <c r="G27" s="195"/>
      <c r="H27" s="195"/>
      <c r="I27" s="195"/>
      <c r="J27" s="25"/>
      <c r="K27" s="25"/>
    </row>
    <row r="28" spans="1:11" ht="36.6" hidden="1" customHeight="1" x14ac:dyDescent="0.3">
      <c r="A28" s="25"/>
      <c r="B28" s="25"/>
      <c r="C28" s="25"/>
      <c r="D28" s="25"/>
      <c r="E28" s="25"/>
      <c r="F28" s="25"/>
      <c r="G28" s="25"/>
      <c r="H28" s="25"/>
      <c r="I28" s="25"/>
      <c r="J28" s="25"/>
      <c r="K28" s="25"/>
    </row>
    <row r="29" spans="1:11" ht="14.55" hidden="1" customHeight="1" x14ac:dyDescent="0.3">
      <c r="A29" s="25"/>
      <c r="B29" s="25"/>
      <c r="C29" s="25"/>
      <c r="D29" s="25"/>
      <c r="E29" s="25"/>
      <c r="F29" s="25"/>
      <c r="G29" s="25"/>
      <c r="H29" s="25"/>
      <c r="I29" s="25"/>
      <c r="J29" s="25"/>
      <c r="K29" s="25"/>
    </row>
    <row r="30" spans="1:11" ht="14.55" hidden="1" customHeight="1" x14ac:dyDescent="0.3">
      <c r="A30" s="25"/>
      <c r="B30" s="25"/>
      <c r="C30" s="25"/>
      <c r="D30" s="25"/>
      <c r="E30" s="25"/>
      <c r="F30" s="25"/>
      <c r="G30" s="25"/>
      <c r="H30" s="25"/>
      <c r="I30" s="25"/>
      <c r="J30" s="25"/>
      <c r="K30" s="25"/>
    </row>
    <row r="31" spans="1:11" ht="14.55" hidden="1" customHeight="1" x14ac:dyDescent="0.3">
      <c r="A31" s="25"/>
      <c r="B31" s="25"/>
      <c r="C31" s="25"/>
      <c r="D31" s="25"/>
      <c r="E31" s="25"/>
      <c r="F31" s="25"/>
      <c r="G31" s="25"/>
      <c r="H31" s="25"/>
      <c r="I31" s="25"/>
      <c r="J31" s="25"/>
      <c r="K31" s="25"/>
    </row>
    <row r="32" spans="1:11" ht="14.55" hidden="1" customHeight="1" x14ac:dyDescent="0.3">
      <c r="A32" s="25"/>
      <c r="B32" s="25"/>
      <c r="C32" s="25"/>
      <c r="D32" s="25"/>
      <c r="E32" s="25"/>
      <c r="F32" s="25"/>
      <c r="G32" s="25"/>
      <c r="H32" s="25"/>
      <c r="I32" s="25"/>
      <c r="J32" s="25"/>
      <c r="K32" s="25"/>
    </row>
    <row r="33" spans="1:11" ht="15" hidden="1" customHeight="1" x14ac:dyDescent="0.3">
      <c r="A33" s="25"/>
      <c r="B33" s="25"/>
      <c r="C33" s="25"/>
      <c r="D33" s="25"/>
      <c r="E33" s="25"/>
      <c r="F33" s="25"/>
      <c r="G33" s="25"/>
      <c r="H33" s="25"/>
      <c r="I33" s="25"/>
      <c r="J33" s="25"/>
      <c r="K33" s="25"/>
    </row>
    <row r="34" spans="1:11" ht="14.4" hidden="1" x14ac:dyDescent="0.3">
      <c r="A34" s="25"/>
      <c r="B34" s="25"/>
      <c r="C34" s="25"/>
      <c r="D34" s="25"/>
      <c r="E34" s="25"/>
      <c r="F34" s="25"/>
      <c r="G34" s="25"/>
      <c r="H34" s="25"/>
      <c r="I34" s="25"/>
      <c r="J34" s="25"/>
      <c r="K34" s="25"/>
    </row>
    <row r="35" spans="1:11" ht="14.4" hidden="1" x14ac:dyDescent="0.3">
      <c r="A35" s="25"/>
      <c r="B35" s="25"/>
      <c r="C35" s="25"/>
      <c r="D35" s="25"/>
      <c r="E35" s="25"/>
      <c r="F35" s="25"/>
      <c r="G35" s="25"/>
      <c r="H35" s="25"/>
      <c r="I35" s="25"/>
      <c r="J35" s="25"/>
      <c r="K35" s="25"/>
    </row>
    <row r="36" spans="1:11" ht="14.4" hidden="1" x14ac:dyDescent="0.3">
      <c r="A36" s="25"/>
      <c r="B36" s="25"/>
      <c r="C36" s="25"/>
      <c r="D36" s="25"/>
      <c r="E36" s="25"/>
      <c r="F36" s="25"/>
      <c r="G36" s="25"/>
      <c r="H36" s="25"/>
      <c r="I36" s="25"/>
      <c r="J36" s="25"/>
      <c r="K36" s="25"/>
    </row>
    <row r="37" spans="1:11" ht="14.4" hidden="1" x14ac:dyDescent="0.3">
      <c r="A37" s="25"/>
      <c r="B37" s="25"/>
      <c r="C37" s="25"/>
      <c r="D37" s="25"/>
      <c r="E37" s="25"/>
      <c r="F37" s="25"/>
      <c r="G37" s="25"/>
      <c r="H37" s="25"/>
      <c r="I37" s="25"/>
      <c r="J37" s="25"/>
      <c r="K37" s="25"/>
    </row>
    <row r="38" spans="1:11" ht="14.4" hidden="1" x14ac:dyDescent="0.3"/>
    <row r="39" spans="1:11" ht="14.4" hidden="1" x14ac:dyDescent="0.3"/>
  </sheetData>
  <sheetProtection algorithmName="SHA-512" hashValue="Jy04LAUf+lpUcvJSa1eONNDX1PHJXW1MaT6dLkTtMPIT6+J3geDfuDI3FBB5EZoI/HQgt1YgqHa0pUYvLkvIZw==" saltValue="cz14mFUaLaXsRCNZePLMow==" spinCount="100000" sheet="1" objects="1" scenarios="1"/>
  <mergeCells count="21">
    <mergeCell ref="E17:I17"/>
    <mergeCell ref="E18:I18"/>
    <mergeCell ref="E19:I19"/>
    <mergeCell ref="B13:B15"/>
    <mergeCell ref="E13:I13"/>
    <mergeCell ref="E14:I14"/>
    <mergeCell ref="E15:I15"/>
    <mergeCell ref="B8:C8"/>
    <mergeCell ref="B9:C9"/>
    <mergeCell ref="B10:C10"/>
    <mergeCell ref="B22:C22"/>
    <mergeCell ref="B23:C23"/>
    <mergeCell ref="B11:C11"/>
    <mergeCell ref="B21:D21"/>
    <mergeCell ref="B17:B19"/>
    <mergeCell ref="B7:C7"/>
    <mergeCell ref="B2:C2"/>
    <mergeCell ref="B3:C3"/>
    <mergeCell ref="B4:C4"/>
    <mergeCell ref="B5:C5"/>
    <mergeCell ref="B6:C6"/>
  </mergeCells>
  <conditionalFormatting sqref="D13:D15">
    <cfRule type="cellIs" dxfId="418" priority="9" operator="greaterThan">
      <formula>10</formula>
    </cfRule>
    <cfRule type="cellIs" dxfId="417" priority="11" operator="lessThan">
      <formula>10</formula>
    </cfRule>
  </conditionalFormatting>
  <conditionalFormatting sqref="F24:I27 E17:I19">
    <cfRule type="containsText" dxfId="416" priority="2" operator="containsText" text="LPA">
      <formula>NOT(ISERROR(SEARCH("LPA",E17)))</formula>
    </cfRule>
    <cfRule type="containsText" dxfId="415" priority="5" operator="containsText" text="Caution - % changed from default">
      <formula>NOT(ISERROR(SEARCH("Caution - % changed from default",E17)))</formula>
    </cfRule>
  </conditionalFormatting>
  <conditionalFormatting sqref="D17:D19">
    <cfRule type="cellIs" dxfId="414" priority="3" operator="lessThan">
      <formula>0</formula>
    </cfRule>
  </conditionalFormatting>
  <conditionalFormatting sqref="E13:I15">
    <cfRule type="expression" dxfId="413" priority="184">
      <formula>$D13&gt;10</formula>
    </cfRule>
    <cfRule type="expression" dxfId="412" priority="185">
      <formula>$D13&lt;10</formula>
    </cfRule>
  </conditionalFormatting>
  <dataValidations count="3">
    <dataValidation type="date" operator="lessThanOrEqual" allowBlank="1" showErrorMessage="1" errorTitle="Error" error="Future dates cannot be added" sqref="D9 D23" xr:uid="{E328DE73-888F-4868-B667-88379BEC6CEB}">
      <formula1>TODAY()</formula1>
    </dataValidation>
    <dataValidation errorStyle="warning" allowBlank="1" showErrorMessage="1" errorTitle="Caution" error="Please chek full list before entering non standrad LPA." sqref="D3" xr:uid="{24DAA5D7-891A-4C77-B726-D52F268E34DD}"/>
    <dataValidation type="whole" allowBlank="1" showInputMessage="1" showErrorMessage="1" sqref="D13:D19" xr:uid="{CA3450D9-15FB-48B6-87E8-0017A46D3621}">
      <formula1>0</formula1>
      <formula2>10000000000</formula2>
    </dataValidation>
  </dataValidations>
  <pageMargins left="0.7" right="0.7" top="0.75" bottom="0.75" header="0.3" footer="0.3"/>
  <pageSetup paperSize="9" scale="58" orientation="portrait" horizontalDpi="1200" verticalDpi="1200" r:id="rId1"/>
  <extLst>
    <ext xmlns:x14="http://schemas.microsoft.com/office/spreadsheetml/2009/9/main" uri="{CCE6A557-97BC-4b89-ADB6-D9C93CAAB3DF}">
      <x14:dataValidations xmlns:xm="http://schemas.microsoft.com/office/excel/2006/main" count="1">
        <x14:dataValidation type="list" errorStyle="warning" allowBlank="1" showErrorMessage="1" errorTitle="Caution" error="Please select from list where possible" xr:uid="{F22E5406-B080-4AF5-8C83-D58282F2255F}">
          <x14:formula1>
            <xm:f>'11. Lists'!$X$36:$X$41</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6E98-0B16-42D9-B147-2811A844B476}">
  <sheetPr codeName="Sheet7">
    <tabColor theme="0" tint="-0.249977111117893"/>
    <pageSetUpPr fitToPage="1"/>
  </sheetPr>
  <dimension ref="A1:R39"/>
  <sheetViews>
    <sheetView topLeftCell="A4" zoomScale="80" zoomScaleNormal="80" workbookViewId="0">
      <selection activeCell="C8" sqref="C8"/>
    </sheetView>
  </sheetViews>
  <sheetFormatPr defaultColWidth="0" defaultRowHeight="14.4" zeroHeight="1" x14ac:dyDescent="0.3"/>
  <cols>
    <col min="1" max="1" width="4.5546875" customWidth="1"/>
    <col min="2" max="2" width="63.21875" customWidth="1"/>
    <col min="3" max="3" width="48.77734375" bestFit="1" customWidth="1"/>
    <col min="4" max="4" width="46.77734375" customWidth="1"/>
    <col min="5" max="8" width="8.77734375" customWidth="1"/>
    <col min="9" max="13" width="8.77734375" hidden="1" customWidth="1"/>
    <col min="14" max="18" width="0" hidden="1" customWidth="1"/>
    <col min="19" max="16384" width="8.77734375" hidden="1"/>
  </cols>
  <sheetData>
    <row r="1" spans="1:14" ht="15" thickBot="1" x14ac:dyDescent="0.35">
      <c r="A1" s="25"/>
      <c r="B1" s="25"/>
      <c r="C1" s="25"/>
      <c r="D1" s="25"/>
      <c r="E1" s="25"/>
      <c r="F1" s="25"/>
      <c r="G1" s="25"/>
      <c r="H1" s="25"/>
      <c r="I1" s="25"/>
      <c r="J1" s="25"/>
      <c r="K1" s="25"/>
      <c r="L1" s="25"/>
      <c r="M1" s="25"/>
      <c r="N1" s="25"/>
    </row>
    <row r="2" spans="1:14" ht="24" customHeight="1" x14ac:dyDescent="0.3">
      <c r="A2" s="53"/>
      <c r="B2" s="200" t="s">
        <v>32</v>
      </c>
      <c r="C2" s="638" t="str">
        <f>IF('2. Site Details'!D4="","Enter site name on 2. Site Details",'2. Site Details'!D4)</f>
        <v>Toad Hall Farm</v>
      </c>
      <c r="D2" s="639"/>
      <c r="E2" s="25"/>
      <c r="F2" s="25"/>
      <c r="G2" s="25"/>
      <c r="H2" s="25"/>
      <c r="I2" s="25"/>
      <c r="J2" s="25"/>
      <c r="K2" s="25"/>
      <c r="L2" s="25"/>
      <c r="M2" s="25"/>
      <c r="N2" s="25"/>
    </row>
    <row r="3" spans="1:14" ht="24" customHeight="1" thickBot="1" x14ac:dyDescent="0.35">
      <c r="A3" s="53"/>
      <c r="B3" s="199" t="s">
        <v>13</v>
      </c>
      <c r="C3" s="636" t="s">
        <v>33</v>
      </c>
      <c r="D3" s="637"/>
      <c r="E3" s="25"/>
      <c r="F3" s="25"/>
      <c r="G3" s="25"/>
      <c r="H3" s="25"/>
      <c r="I3" s="25"/>
      <c r="J3" s="25"/>
      <c r="K3" s="25"/>
      <c r="L3" s="25"/>
      <c r="M3" s="25"/>
      <c r="N3" s="25"/>
    </row>
    <row r="4" spans="1:14" ht="14.55" customHeight="1" x14ac:dyDescent="0.3">
      <c r="A4" s="53"/>
      <c r="B4" s="53"/>
      <c r="C4" s="53"/>
      <c r="D4" s="53"/>
      <c r="E4" s="25"/>
      <c r="F4" s="25"/>
      <c r="G4" s="25"/>
      <c r="H4" s="25"/>
      <c r="I4" s="25"/>
      <c r="J4" s="25"/>
      <c r="K4" s="25"/>
      <c r="L4" s="25"/>
      <c r="M4" s="25"/>
      <c r="N4" s="25"/>
    </row>
    <row r="5" spans="1:14" ht="36" customHeight="1" thickBot="1" x14ac:dyDescent="0.35">
      <c r="A5" s="40"/>
      <c r="B5" s="56" t="s">
        <v>34</v>
      </c>
      <c r="C5" s="41"/>
      <c r="D5" s="41"/>
      <c r="E5" s="25"/>
      <c r="F5" s="25"/>
      <c r="G5" s="25"/>
      <c r="H5" s="25"/>
      <c r="I5" s="25"/>
      <c r="J5" s="25"/>
      <c r="K5" s="25"/>
      <c r="L5" s="25"/>
      <c r="M5" s="25"/>
      <c r="N5" s="25"/>
    </row>
    <row r="6" spans="1:14" ht="42" customHeight="1" x14ac:dyDescent="0.3">
      <c r="A6" s="25"/>
      <c r="B6" s="37" t="s">
        <v>35</v>
      </c>
      <c r="C6" s="150" t="s">
        <v>1057</v>
      </c>
      <c r="D6" s="202" t="str">
        <f>IF(AND(C6="Residential",C9="Unknown number"),"Site area must be less than 5,000 m2",IF(C6="","","Site area must be less than 10,000 m2"))</f>
        <v>Site area must be less than 10,000 m2</v>
      </c>
      <c r="E6" s="634" t="str">
        <f>IF(AND(C9="Unknown number", C6="Residential"),"Site area limited by unknown number of dwellings ⚠", "")</f>
        <v/>
      </c>
      <c r="F6" s="635"/>
      <c r="G6" s="635"/>
      <c r="H6" s="635"/>
      <c r="I6" s="25"/>
      <c r="J6" s="25"/>
      <c r="K6" s="25"/>
      <c r="L6" s="25"/>
      <c r="M6" s="25"/>
      <c r="N6" s="25"/>
    </row>
    <row r="7" spans="1:14" ht="42" customHeight="1" x14ac:dyDescent="0.3">
      <c r="A7" s="25"/>
      <c r="B7" s="42" t="s">
        <v>36</v>
      </c>
      <c r="C7" s="151">
        <v>5179.3</v>
      </c>
      <c r="D7" s="203" t="str">
        <f>IF(AND(D6="Site area must be less than 10,000 m2",C7&gt;=10000),"ERROR- Site too large for metric  - USE MAIN METRIC ▲",IF(AND(D6="Site area must be less than 5,000 m2",C7&gt;=5000),"ERROR- Site too large for metric  - USE MAIN METRIC ▲",""))</f>
        <v/>
      </c>
      <c r="E7" s="25"/>
      <c r="F7" s="25"/>
      <c r="G7" s="25"/>
      <c r="H7" s="25"/>
      <c r="I7" s="25"/>
      <c r="J7" s="25"/>
      <c r="K7" s="25"/>
      <c r="L7" s="25"/>
      <c r="M7" s="25"/>
      <c r="N7" s="25"/>
    </row>
    <row r="8" spans="1:14" ht="42" customHeight="1" x14ac:dyDescent="0.3">
      <c r="A8" s="25"/>
      <c r="B8" s="396" t="str">
        <f>IF(OR(C6="Residential",C6="Other"),"N/A",IF(C6="","","16. Building footprint (m2) of commercial buildings proposed within the development site (or zero if none)"))</f>
        <v>N/A</v>
      </c>
      <c r="C8" s="151"/>
      <c r="D8" s="204" t="str">
        <f>IF(AND(B8="n/a",C8&lt;&gt;""),"ERROR- Not required",IF(AND(C8&lt;&gt;"",C8&gt;=1000),"ERROR- Footprint too large for metric  - USE MAIN METRIC",IF(AND(C8&lt;&gt;"",C8&gt;C7),"ERROR - Footprint larger than development area","")))</f>
        <v/>
      </c>
      <c r="E8" s="25"/>
      <c r="F8" s="25"/>
      <c r="G8" s="25"/>
      <c r="H8" s="25"/>
      <c r="I8" s="25"/>
      <c r="J8" s="25"/>
      <c r="K8" s="25"/>
      <c r="L8" s="25"/>
      <c r="M8" s="25"/>
      <c r="N8" s="25"/>
    </row>
    <row r="9" spans="1:14" ht="42" customHeight="1" thickBot="1" x14ac:dyDescent="0.35">
      <c r="A9" s="25"/>
      <c r="B9" s="397" t="str">
        <f>IF(OR(C6="Commercial",C6="Other"),"N/A",IF(C6="","","17. Number of dwellings proposed within the development site"))</f>
        <v>N/A</v>
      </c>
      <c r="C9" s="152"/>
      <c r="D9" s="205" t="str">
        <f>IF(AND(B9="n/a",C9&lt;&gt;""),"ERROR- Not required ▲",IF(OR(AND(C6="Residential",C9="Over 9 dwellings"),AND(C6="Mixed",C9="Over 9 dwellings")),"ERROR- Number of dwellings too large for metric  - USE MAIN METRIC ▲",IF(AND(B9="17. Number of dwellings proposed within the development site",C9=""),"ERROR - You must specify number of dwellings ▲","")))</f>
        <v/>
      </c>
      <c r="E9" s="25"/>
      <c r="F9" s="25"/>
      <c r="G9" s="25"/>
      <c r="H9" s="25"/>
      <c r="I9" s="25"/>
      <c r="J9" s="25"/>
      <c r="K9" s="25"/>
      <c r="L9" s="25"/>
      <c r="M9" s="25"/>
      <c r="N9" s="25"/>
    </row>
    <row r="10" spans="1:14" ht="36" customHeight="1" thickBot="1" x14ac:dyDescent="0.35">
      <c r="A10" s="25"/>
      <c r="B10" s="56" t="s">
        <v>1029</v>
      </c>
      <c r="C10" s="43"/>
      <c r="D10" s="44"/>
      <c r="E10" s="25"/>
      <c r="F10" s="25"/>
      <c r="G10" s="25"/>
      <c r="H10" s="25"/>
      <c r="I10" s="25"/>
      <c r="J10" s="25"/>
      <c r="K10" s="25"/>
      <c r="L10" s="25"/>
      <c r="M10" s="25"/>
      <c r="N10" s="25"/>
    </row>
    <row r="11" spans="1:14" ht="42" customHeight="1" x14ac:dyDescent="0.3">
      <c r="A11" s="25"/>
      <c r="B11" s="37" t="s">
        <v>37</v>
      </c>
      <c r="C11" s="150" t="s">
        <v>1058</v>
      </c>
      <c r="D11" s="374" t="str">
        <f>IF(C11="On site","ERROR- Site too complex for metric - USE MAIN METRIC ▲",IF(C11="Within 500m of site boundary","Consider using main metric tool ⚠",""))</f>
        <v/>
      </c>
      <c r="E11" s="25"/>
      <c r="F11" s="25"/>
      <c r="G11" s="25"/>
      <c r="H11" s="25"/>
      <c r="I11" s="25"/>
      <c r="J11" s="25"/>
      <c r="K11" s="25"/>
      <c r="L11" s="25"/>
      <c r="M11" s="25"/>
      <c r="N11" s="25"/>
    </row>
    <row r="12" spans="1:14" ht="42" customHeight="1" x14ac:dyDescent="0.3">
      <c r="A12" s="25"/>
      <c r="B12" s="42" t="s">
        <v>38</v>
      </c>
      <c r="C12" s="151" t="s">
        <v>1059</v>
      </c>
      <c r="D12" s="407" t="str">
        <f>IF(C12="On site","ERROR- Site too complex for metric - USE MAIN METRIC ▲",IF(C12="Within 500m of site boundary","Consider using main metric tool ⚠",""))</f>
        <v>Consider using main metric tool ⚠</v>
      </c>
      <c r="E12" s="25"/>
      <c r="F12" s="25"/>
      <c r="G12" s="25"/>
      <c r="H12" s="25"/>
      <c r="I12" s="25"/>
      <c r="J12" s="25"/>
      <c r="K12" s="25"/>
      <c r="L12" s="25"/>
      <c r="M12" s="25"/>
      <c r="N12" s="25"/>
    </row>
    <row r="13" spans="1:14" ht="79.2" customHeight="1" x14ac:dyDescent="0.3">
      <c r="A13" s="25"/>
      <c r="B13" s="42" t="s">
        <v>39</v>
      </c>
      <c r="C13" s="640" t="s">
        <v>1060</v>
      </c>
      <c r="D13" s="641"/>
      <c r="E13" s="25"/>
      <c r="F13" s="25"/>
      <c r="G13" s="25"/>
      <c r="H13" s="25"/>
      <c r="I13" s="25"/>
      <c r="J13" s="25"/>
      <c r="K13" s="25"/>
      <c r="L13" s="25"/>
      <c r="M13" s="25"/>
      <c r="N13" s="25"/>
    </row>
    <row r="14" spans="1:14" ht="79.2" customHeight="1" thickBot="1" x14ac:dyDescent="0.35">
      <c r="A14" s="25"/>
      <c r="B14" s="36" t="s">
        <v>40</v>
      </c>
      <c r="C14" s="642" t="s">
        <v>1061</v>
      </c>
      <c r="D14" s="643"/>
      <c r="E14" s="25"/>
      <c r="F14" s="25"/>
      <c r="G14" s="25"/>
      <c r="H14" s="25"/>
      <c r="I14" s="25"/>
      <c r="J14" s="25"/>
      <c r="K14" s="25"/>
      <c r="L14" s="25"/>
      <c r="M14" s="25"/>
      <c r="N14" s="25"/>
    </row>
    <row r="15" spans="1:14" ht="36" customHeight="1" thickBot="1" x14ac:dyDescent="0.35">
      <c r="A15" s="25"/>
      <c r="B15" s="562" t="s">
        <v>1030</v>
      </c>
      <c r="C15" s="25"/>
      <c r="D15" s="25"/>
      <c r="E15" s="25"/>
      <c r="F15" s="25"/>
      <c r="G15" s="25"/>
      <c r="H15" s="25"/>
      <c r="I15" s="25"/>
      <c r="J15" s="25"/>
      <c r="K15" s="25"/>
      <c r="L15" s="25"/>
      <c r="M15" s="25"/>
      <c r="N15" s="25"/>
    </row>
    <row r="16" spans="1:14" ht="42" customHeight="1" thickBot="1" x14ac:dyDescent="0.35">
      <c r="A16" s="25"/>
      <c r="B16" s="160" t="s">
        <v>1031</v>
      </c>
      <c r="C16" s="563" t="s">
        <v>1058</v>
      </c>
      <c r="D16" s="564" t="str">
        <f>IF(C16="Yes","ERROR- Site too complex for metric - USE MAIN METRIC ▲","")</f>
        <v/>
      </c>
      <c r="E16" s="25"/>
      <c r="F16" s="25"/>
      <c r="G16" s="25"/>
      <c r="H16" s="25"/>
      <c r="I16" s="25"/>
      <c r="J16" s="25"/>
      <c r="K16" s="25"/>
      <c r="L16" s="25"/>
      <c r="M16" s="25"/>
      <c r="N16" s="25"/>
    </row>
    <row r="17" spans="1:14" ht="42" hidden="1" customHeight="1" x14ac:dyDescent="0.3">
      <c r="A17" s="25"/>
      <c r="B17" s="25"/>
      <c r="C17" s="25"/>
      <c r="D17" s="25"/>
      <c r="E17" s="25"/>
      <c r="F17" s="25"/>
      <c r="G17" s="25"/>
      <c r="H17" s="25"/>
      <c r="I17" s="25"/>
      <c r="J17" s="25"/>
      <c r="K17" s="25"/>
      <c r="L17" s="25"/>
      <c r="M17" s="25"/>
      <c r="N17" s="25"/>
    </row>
    <row r="18" spans="1:14" ht="42" customHeight="1" thickBot="1" x14ac:dyDescent="0.35">
      <c r="A18" s="25"/>
      <c r="B18" s="56" t="s">
        <v>41</v>
      </c>
      <c r="C18" s="25"/>
      <c r="D18" s="25"/>
      <c r="E18" s="25"/>
      <c r="F18" s="25"/>
      <c r="G18" s="25"/>
      <c r="H18" s="25"/>
      <c r="I18" s="25"/>
      <c r="J18" s="25"/>
      <c r="K18" s="25"/>
      <c r="L18" s="25"/>
      <c r="M18" s="25"/>
      <c r="N18" s="25"/>
    </row>
    <row r="19" spans="1:14" ht="36" customHeight="1" x14ac:dyDescent="0.3">
      <c r="A19" s="25"/>
      <c r="B19" s="37" t="s">
        <v>1032</v>
      </c>
      <c r="C19" s="150" t="s">
        <v>1062</v>
      </c>
      <c r="D19" s="45" t="str">
        <f>IF(C19="Walkover completed by competent person","A competent person should be able to confidently identify the habitats onsite",IF(C19="No Walkover Undertaken","ERROR- Site walkover required",""))</f>
        <v>A competent person should be able to confidently identify the habitats onsite</v>
      </c>
      <c r="E19" s="25"/>
      <c r="F19" s="25"/>
      <c r="G19" s="25"/>
      <c r="H19" s="25"/>
      <c r="I19" s="25"/>
      <c r="J19" s="25"/>
      <c r="K19" s="25"/>
      <c r="L19" s="25"/>
      <c r="M19" s="25"/>
      <c r="N19" s="25"/>
    </row>
    <row r="20" spans="1:14" ht="79.2" customHeight="1" x14ac:dyDescent="0.3">
      <c r="A20" s="25"/>
      <c r="B20" s="42" t="s">
        <v>1033</v>
      </c>
      <c r="C20" s="161">
        <v>45777</v>
      </c>
      <c r="D20" s="162" t="str">
        <f>IF(C20="","Walkover date required ▲","Site walkover data valid until "&amp;TEXT(EDATE(C20,6),"dd/mm/yy"))</f>
        <v>Site walkover data valid until 30/10/25</v>
      </c>
      <c r="E20" s="25"/>
      <c r="F20" s="25"/>
      <c r="G20" s="25"/>
      <c r="H20" s="25"/>
      <c r="I20" s="25"/>
      <c r="J20" s="25"/>
      <c r="K20" s="25"/>
      <c r="L20" s="25"/>
      <c r="M20" s="25"/>
      <c r="N20" s="25"/>
    </row>
    <row r="21" spans="1:14" ht="39.6" customHeight="1" thickBot="1" x14ac:dyDescent="0.35">
      <c r="A21" s="25"/>
      <c r="B21" s="36" t="s">
        <v>1034</v>
      </c>
      <c r="C21" s="560" t="s">
        <v>1055</v>
      </c>
      <c r="D21" s="561"/>
      <c r="E21" s="25"/>
      <c r="F21" s="25"/>
      <c r="G21" s="25"/>
      <c r="H21" s="25"/>
      <c r="I21" s="25"/>
      <c r="J21" s="25"/>
      <c r="K21" s="25"/>
      <c r="L21" s="25"/>
      <c r="M21" s="25"/>
      <c r="N21" s="25"/>
    </row>
    <row r="22" spans="1:14" ht="26.55" customHeight="1" thickBot="1" x14ac:dyDescent="0.35">
      <c r="A22" s="25"/>
      <c r="B22" s="56" t="s">
        <v>42</v>
      </c>
      <c r="C22" s="25"/>
      <c r="D22" s="25"/>
      <c r="E22" s="25"/>
      <c r="F22" s="25"/>
      <c r="G22" s="25"/>
      <c r="H22" s="25"/>
      <c r="I22" s="25"/>
      <c r="J22" s="25"/>
      <c r="K22" s="25"/>
      <c r="L22" s="25"/>
      <c r="M22" s="25"/>
      <c r="N22" s="25"/>
    </row>
    <row r="23" spans="1:14" ht="56.55" customHeight="1" thickBot="1" x14ac:dyDescent="0.35">
      <c r="A23" s="25"/>
      <c r="B23" s="160" t="s">
        <v>1035</v>
      </c>
      <c r="C23" s="558" t="s">
        <v>1063</v>
      </c>
      <c r="D23" s="559"/>
      <c r="E23" s="25"/>
      <c r="F23" s="25"/>
      <c r="G23" s="25"/>
      <c r="H23" s="25"/>
      <c r="I23" s="25"/>
      <c r="J23" s="25"/>
      <c r="K23" s="25"/>
      <c r="L23" s="25"/>
      <c r="M23" s="25"/>
      <c r="N23" s="25"/>
    </row>
    <row r="24" spans="1:14" ht="14.55" customHeight="1" x14ac:dyDescent="0.3">
      <c r="A24" s="25"/>
      <c r="B24" s="25"/>
      <c r="C24" s="25"/>
      <c r="D24" s="25"/>
      <c r="E24" s="25"/>
      <c r="F24" s="25"/>
      <c r="G24" s="25"/>
      <c r="H24" s="25"/>
      <c r="I24" s="25"/>
      <c r="J24" s="25"/>
      <c r="K24" s="25"/>
      <c r="L24" s="25"/>
      <c r="M24" s="25"/>
      <c r="N24" s="25"/>
    </row>
    <row r="25" spans="1:14" ht="14.55" customHeight="1" x14ac:dyDescent="0.3">
      <c r="A25" s="25"/>
      <c r="B25" s="25"/>
      <c r="C25" s="25"/>
      <c r="D25" s="25"/>
      <c r="E25" s="25"/>
      <c r="F25" s="25"/>
      <c r="G25" s="25"/>
      <c r="H25" s="25"/>
      <c r="I25" s="25"/>
      <c r="J25" s="25"/>
      <c r="K25" s="25"/>
      <c r="L25" s="25"/>
      <c r="M25" s="25"/>
      <c r="N25" s="25"/>
    </row>
    <row r="26" spans="1:14" ht="15" hidden="1" customHeight="1" x14ac:dyDescent="0.3">
      <c r="A26" s="25"/>
      <c r="B26" s="25"/>
      <c r="C26" s="25"/>
      <c r="D26" s="25"/>
      <c r="E26" s="25"/>
      <c r="F26" s="25"/>
      <c r="G26" s="25"/>
      <c r="H26" s="25"/>
      <c r="I26" s="25"/>
      <c r="J26" s="25"/>
      <c r="K26" s="25"/>
      <c r="L26" s="25"/>
      <c r="M26" s="25"/>
      <c r="N26" s="25"/>
    </row>
    <row r="27" spans="1:14" ht="15" hidden="1" customHeight="1" x14ac:dyDescent="0.3">
      <c r="A27" s="25"/>
      <c r="B27" s="25"/>
      <c r="C27" s="25"/>
      <c r="D27" s="25"/>
      <c r="E27" s="25"/>
      <c r="F27" s="25"/>
      <c r="G27" s="25"/>
      <c r="H27" s="25"/>
      <c r="I27" s="25"/>
      <c r="J27" s="25"/>
      <c r="K27" s="25"/>
      <c r="L27" s="25"/>
      <c r="M27" s="25"/>
      <c r="N27" s="25"/>
    </row>
    <row r="28" spans="1:14" hidden="1" x14ac:dyDescent="0.3">
      <c r="A28" s="25"/>
      <c r="B28" s="25"/>
      <c r="C28" s="25"/>
      <c r="D28" s="25"/>
      <c r="E28" s="25"/>
      <c r="F28" s="25"/>
      <c r="G28" s="25"/>
      <c r="H28" s="25"/>
      <c r="I28" s="25"/>
      <c r="J28" s="25"/>
      <c r="K28" s="25"/>
      <c r="L28" s="25"/>
      <c r="M28" s="25"/>
      <c r="N28" s="25"/>
    </row>
    <row r="29" spans="1:14" hidden="1" x14ac:dyDescent="0.3">
      <c r="A29" s="25"/>
      <c r="B29" s="25"/>
      <c r="C29" s="25"/>
      <c r="D29" s="25"/>
      <c r="E29" s="25"/>
      <c r="F29" s="25"/>
      <c r="G29" s="25"/>
      <c r="H29" s="25"/>
      <c r="I29" s="25"/>
      <c r="J29" s="25"/>
      <c r="K29" s="25"/>
      <c r="L29" s="25"/>
      <c r="M29" s="25"/>
      <c r="N29" s="25"/>
    </row>
    <row r="30" spans="1:14" hidden="1" x14ac:dyDescent="0.3">
      <c r="A30" s="25"/>
      <c r="B30" s="25"/>
      <c r="C30" s="25"/>
      <c r="D30" s="25"/>
      <c r="E30" s="25"/>
      <c r="F30" s="25"/>
      <c r="G30" s="25"/>
      <c r="H30" s="25"/>
      <c r="I30" s="25"/>
      <c r="J30" s="25"/>
      <c r="K30" s="25"/>
      <c r="L30" s="25"/>
      <c r="M30" s="25"/>
      <c r="N30" s="25"/>
    </row>
    <row r="31" spans="1:14" hidden="1" x14ac:dyDescent="0.3">
      <c r="A31" s="25"/>
      <c r="B31" s="25"/>
      <c r="C31" s="25"/>
      <c r="D31" s="25"/>
      <c r="E31" s="25"/>
      <c r="F31" s="25"/>
      <c r="G31" s="25"/>
      <c r="H31" s="25"/>
    </row>
    <row r="32" spans="1:14" hidden="1" x14ac:dyDescent="0.3">
      <c r="A32" s="25"/>
      <c r="B32" s="25"/>
      <c r="C32" s="25"/>
      <c r="D32" s="25"/>
      <c r="E32" s="25"/>
      <c r="F32" s="25"/>
      <c r="G32" s="25"/>
      <c r="H32" s="25"/>
    </row>
    <row r="33" spans="1:8" hidden="1" x14ac:dyDescent="0.3">
      <c r="A33" s="25"/>
      <c r="B33" s="25"/>
      <c r="C33" s="25"/>
      <c r="D33" s="25"/>
      <c r="E33" s="25"/>
      <c r="F33" s="25"/>
      <c r="G33" s="25"/>
      <c r="H33" s="25"/>
    </row>
    <row r="34" spans="1:8" hidden="1" x14ac:dyDescent="0.3">
      <c r="A34" s="25"/>
      <c r="B34" s="25"/>
      <c r="C34" s="25"/>
      <c r="D34" s="25"/>
      <c r="E34" s="25"/>
      <c r="F34" s="25"/>
      <c r="G34" s="25"/>
      <c r="H34" s="25"/>
    </row>
    <row r="35" spans="1:8" hidden="1" x14ac:dyDescent="0.3">
      <c r="A35" s="25"/>
      <c r="B35" s="25"/>
      <c r="C35" s="25"/>
      <c r="D35" s="25"/>
      <c r="E35" s="25"/>
      <c r="F35" s="25"/>
      <c r="G35" s="25"/>
      <c r="H35" s="25"/>
    </row>
    <row r="36" spans="1:8" hidden="1" x14ac:dyDescent="0.3">
      <c r="A36" s="25"/>
      <c r="B36" s="25"/>
      <c r="C36" s="25"/>
      <c r="D36" s="25"/>
      <c r="E36" s="25"/>
      <c r="F36" s="25"/>
      <c r="G36" s="25"/>
      <c r="H36" s="25"/>
    </row>
    <row r="37" spans="1:8" hidden="1" x14ac:dyDescent="0.3">
      <c r="A37" s="25"/>
      <c r="B37" s="25"/>
      <c r="C37" s="25"/>
      <c r="D37" s="25"/>
      <c r="E37" s="25"/>
      <c r="F37" s="25"/>
      <c r="G37" s="25"/>
      <c r="H37" s="25"/>
    </row>
    <row r="38" spans="1:8" hidden="1" x14ac:dyDescent="0.3">
      <c r="A38" s="25"/>
      <c r="B38" s="25"/>
      <c r="C38" s="25"/>
      <c r="D38" s="25"/>
      <c r="E38" s="25"/>
      <c r="F38" s="25"/>
      <c r="G38" s="25"/>
      <c r="H38" s="25"/>
    </row>
    <row r="39" spans="1:8" hidden="1" x14ac:dyDescent="0.3">
      <c r="A39" s="25"/>
      <c r="B39" s="25"/>
      <c r="C39" s="25"/>
      <c r="D39" s="25"/>
      <c r="E39" s="25"/>
      <c r="F39" s="25"/>
      <c r="G39" s="25"/>
      <c r="H39" s="25"/>
    </row>
  </sheetData>
  <sheetProtection algorithmName="SHA-512" hashValue="ovCf6i/wAlYUu/UpSFtD4PK9iy2D+2xgiv6Q50MZFQcxbYYfOffgSQcC4NzXaNEmKdRjO+xHFEJDB8UeDTcq9g==" saltValue="4jq+mox8+tzGAUw1eGr3XQ==" spinCount="100000" sheet="1" objects="1" scenarios="1"/>
  <mergeCells count="5">
    <mergeCell ref="E6:H6"/>
    <mergeCell ref="C3:D3"/>
    <mergeCell ref="C2:D2"/>
    <mergeCell ref="C13:D13"/>
    <mergeCell ref="C14:D14"/>
  </mergeCells>
  <conditionalFormatting sqref="C11">
    <cfRule type="expression" dxfId="411" priority="59">
      <formula>C11="Within 500m of site boundary"</formula>
    </cfRule>
    <cfRule type="expression" dxfId="410" priority="68">
      <formula>C11="On site"</formula>
    </cfRule>
    <cfRule type="expression" dxfId="409" priority="69">
      <formula>C11="No"</formula>
    </cfRule>
  </conditionalFormatting>
  <conditionalFormatting sqref="D11:D12">
    <cfRule type="expression" dxfId="408" priority="57">
      <formula>C11="On site"</formula>
    </cfRule>
  </conditionalFormatting>
  <conditionalFormatting sqref="C19:C20">
    <cfRule type="expression" dxfId="407" priority="46">
      <formula>C19="Walkover completed by competent person"</formula>
    </cfRule>
    <cfRule type="expression" dxfId="406" priority="47">
      <formula>C19="No walkover undertaken"</formula>
    </cfRule>
    <cfRule type="expression" dxfId="405" priority="48">
      <formula>C19="Walkover completed by qualified ecologist"</formula>
    </cfRule>
  </conditionalFormatting>
  <conditionalFormatting sqref="C12">
    <cfRule type="expression" dxfId="404" priority="37">
      <formula>C12="Within 500m of site boundary"</formula>
    </cfRule>
    <cfRule type="expression" dxfId="403" priority="38">
      <formula>C12="On site"</formula>
    </cfRule>
    <cfRule type="expression" dxfId="402" priority="39">
      <formula>C12="No"</formula>
    </cfRule>
  </conditionalFormatting>
  <conditionalFormatting sqref="D20">
    <cfRule type="containsText" dxfId="401" priority="33" operator="containsText" text="Walkover date required">
      <formula>NOT(ISERROR(SEARCH("Walkover date required",D20)))</formula>
    </cfRule>
  </conditionalFormatting>
  <conditionalFormatting sqref="C8">
    <cfRule type="expression" dxfId="400" priority="19" stopIfTrue="1">
      <formula>IF(LEFT(D8,1)="E","TRUE","")</formula>
    </cfRule>
    <cfRule type="expression" dxfId="399" priority="20">
      <formula>AND(C8&gt;0,C8&lt;=C7,C8&lt;1001)</formula>
    </cfRule>
  </conditionalFormatting>
  <conditionalFormatting sqref="C6">
    <cfRule type="expression" dxfId="398" priority="18">
      <formula>IF(C6&lt;&gt;"",TRUE,"")</formula>
    </cfRule>
  </conditionalFormatting>
  <conditionalFormatting sqref="D7">
    <cfRule type="expression" dxfId="397" priority="17">
      <formula>IF(LEFT(D7,1)="E","TRUE","")</formula>
    </cfRule>
  </conditionalFormatting>
  <conditionalFormatting sqref="D8">
    <cfRule type="containsText" dxfId="396" priority="16" operator="containsText" text="ERROR">
      <formula>NOT(ISERROR(SEARCH("ERROR",D8)))</formula>
    </cfRule>
  </conditionalFormatting>
  <conditionalFormatting sqref="C7">
    <cfRule type="expression" dxfId="395" priority="21">
      <formula>IF(AND(LEFT(D7,1)="E",C7&lt;&gt;""),TRUE,"")</formula>
    </cfRule>
    <cfRule type="expression" dxfId="394" priority="22" stopIfTrue="1">
      <formula>IF(AND(LEFT(D7,1)&lt;&gt;"E",C7&lt;&gt;""),TRUE,"")</formula>
    </cfRule>
  </conditionalFormatting>
  <conditionalFormatting sqref="C9">
    <cfRule type="containsText" dxfId="393" priority="8" operator="containsText" text="Unknown">
      <formula>NOT(ISERROR(SEARCH("Unknown",C9)))</formula>
    </cfRule>
    <cfRule type="expression" dxfId="392" priority="14" stopIfTrue="1">
      <formula>IF(LEFT(D9,1)="E","TRUE","")</formula>
    </cfRule>
    <cfRule type="expression" dxfId="391" priority="15">
      <formula>AND(C9&gt;0,LEFT(D10,1)&lt;&gt;"E")</formula>
    </cfRule>
  </conditionalFormatting>
  <conditionalFormatting sqref="D9">
    <cfRule type="containsText" dxfId="390" priority="13" operator="containsText" text="ERROR">
      <formula>NOT(ISERROR(SEARCH("ERROR",D9)))</formula>
    </cfRule>
  </conditionalFormatting>
  <conditionalFormatting sqref="D11">
    <cfRule type="containsText" dxfId="389" priority="10" operator="containsText" text="Consider">
      <formula>NOT(ISERROR(SEARCH("Consider",D11)))</formula>
    </cfRule>
  </conditionalFormatting>
  <conditionalFormatting sqref="D12">
    <cfRule type="containsText" dxfId="388" priority="9" operator="containsText" text="Consider">
      <formula>NOT(ISERROR(SEARCH("Consider",D12)))</formula>
    </cfRule>
  </conditionalFormatting>
  <conditionalFormatting sqref="E6:H6">
    <cfRule type="notContainsBlanks" dxfId="387" priority="7">
      <formula>LEN(TRIM(E6))&gt;0</formula>
    </cfRule>
  </conditionalFormatting>
  <conditionalFormatting sqref="D19">
    <cfRule type="expression" dxfId="386" priority="212">
      <formula>$C$19="Walkover completed by competent person"</formula>
    </cfRule>
    <cfRule type="expression" dxfId="385" priority="213">
      <formula>C19="No walkover undertaken"</formula>
    </cfRule>
  </conditionalFormatting>
  <conditionalFormatting sqref="C16">
    <cfRule type="expression" dxfId="384" priority="4">
      <formula>C16="Within 500m of site boundary"</formula>
    </cfRule>
    <cfRule type="expression" dxfId="383" priority="5">
      <formula>C16="On site"</formula>
    </cfRule>
    <cfRule type="expression" dxfId="382" priority="6">
      <formula>C16="No"</formula>
    </cfRule>
  </conditionalFormatting>
  <conditionalFormatting sqref="D16">
    <cfRule type="containsText" dxfId="381" priority="1" operator="containsText" text="ERROR">
      <formula>NOT(ISERROR(SEARCH("ERROR",D16)))</formula>
    </cfRule>
    <cfRule type="expression" dxfId="380" priority="3">
      <formula>C16="On site"</formula>
    </cfRule>
  </conditionalFormatting>
  <conditionalFormatting sqref="D16">
    <cfRule type="containsText" dxfId="379" priority="2" operator="containsText" text="Consider">
      <formula>NOT(ISERROR(SEARCH("Consider",D16)))</formula>
    </cfRule>
  </conditionalFormatting>
  <dataValidations count="6">
    <dataValidation type="list" allowBlank="1" showInputMessage="1" showErrorMessage="1" sqref="C6" xr:uid="{325EC589-552A-404D-B7D4-4D8EFD896C12}">
      <formula1>"Residential,Commercial,Mixed,Other"</formula1>
    </dataValidation>
    <dataValidation type="list" allowBlank="1" showInputMessage="1" showErrorMessage="1" sqref="C11:C12" xr:uid="{2663ADE3-EBE6-42F9-9180-2A62E5086209}">
      <formula1>"On site,Within 500m of site boundary,No"</formula1>
    </dataValidation>
    <dataValidation type="list" allowBlank="1" showInputMessage="1" showErrorMessage="1" sqref="C19" xr:uid="{DC1BD428-7F08-4C83-97A0-4177B01BB499}">
      <formula1>"Walkover completed by qualified ecologist,Walkover completed by competent person,No walkover undertaken"</formula1>
    </dataValidation>
    <dataValidation type="date" operator="lessThanOrEqual" allowBlank="1" showInputMessage="1" showErrorMessage="1" errorTitle="Error" error="Future dates not permited" sqref="C20" xr:uid="{A884B896-36E1-41D9-989A-9DF75FF39B69}">
      <formula1>TODAY()</formula1>
    </dataValidation>
    <dataValidation type="list" allowBlank="1" showInputMessage="1" showErrorMessage="1" sqref="C9" xr:uid="{D53D0D02-EC8D-496C-A2A5-CF2104E92ED9}">
      <formula1>"Unknown number, Between 1 - 9 dwellings, Over 9 dwellings"</formula1>
    </dataValidation>
    <dataValidation type="list" allowBlank="1" showInputMessage="1" showErrorMessage="1" sqref="C16" xr:uid="{51B72C39-DD2C-4C1F-9827-EF6305F00C5E}">
      <formula1>"Yes, No"</formula1>
    </dataValidation>
  </dataValidations>
  <pageMargins left="0.7" right="0.7" top="0.75" bottom="0.75" header="0.3" footer="0.3"/>
  <pageSetup paperSize="9" scale="54"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761A7-C478-4620-BBDE-F558B68BAD4D}">
  <sheetPr codeName="Sheet9">
    <tabColor theme="0" tint="-0.249977111117893"/>
    <pageSetUpPr fitToPage="1"/>
  </sheetPr>
  <dimension ref="A1:XFB158"/>
  <sheetViews>
    <sheetView showGridLines="0" zoomScale="80" zoomScaleNormal="80" workbookViewId="0">
      <pane xSplit="2" ySplit="7" topLeftCell="C14" activePane="bottomRight" state="frozen"/>
      <selection pane="topRight" activeCell="C1" sqref="C1"/>
      <selection pane="bottomLeft" activeCell="A8" sqref="A8"/>
      <selection pane="bottomRight" activeCell="D11" sqref="D11"/>
    </sheetView>
  </sheetViews>
  <sheetFormatPr defaultColWidth="8.77734375" defaultRowHeight="14.4" zeroHeight="1" x14ac:dyDescent="0.3"/>
  <cols>
    <col min="1" max="1" width="3.44140625" customWidth="1"/>
    <col min="2" max="2" width="16.44140625" bestFit="1" customWidth="1"/>
    <col min="3" max="3" width="32.21875" bestFit="1" customWidth="1"/>
    <col min="4" max="5" width="89.77734375" customWidth="1"/>
    <col min="6" max="7" width="8.77734375" customWidth="1"/>
    <col min="8" max="16382" width="8.77734375" hidden="1" customWidth="1"/>
    <col min="16383" max="16383" width="8.77734375" style="25" customWidth="1"/>
    <col min="16384" max="16384" width="8.77734375" style="25"/>
  </cols>
  <sheetData>
    <row r="1" spans="1:34" ht="15" thickBot="1" x14ac:dyDescent="0.3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row>
    <row r="2" spans="1:34" ht="24.6" customHeight="1" x14ac:dyDescent="0.35">
      <c r="A2" s="25"/>
      <c r="B2" s="648" t="s">
        <v>32</v>
      </c>
      <c r="C2" s="649"/>
      <c r="D2" s="261" t="str">
        <f>IF('2. Site Details'!D4="","Enter site name on 2. Site Details",'2. Site Details'!D4)</f>
        <v>Toad Hall Farm</v>
      </c>
      <c r="E2" s="651" t="str">
        <f>IF(OR('3. Desktop Assessment'!C19="Walkover completed by competent person",'3. Desktop Assessment'!C19="No walkover undertaken"),IF(COUNTA(D8:E8,D10:E10,D14:E14,D16:E16,D18:E18,D22:E22,D26:E26,D30:E30,D34:E34,D38:E38,D42:E42,D46:E46,D12:E12,D20:E20,D24:E24,D28:E28,D32:E32,D36:E36,D40:E40,D44:E44)=0,"Error - Site photographs required to support application",""),"")</f>
        <v/>
      </c>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row>
    <row r="3" spans="1:34" ht="24.6" customHeight="1" thickBot="1" x14ac:dyDescent="0.4">
      <c r="A3" s="25"/>
      <c r="B3" s="644" t="s">
        <v>13</v>
      </c>
      <c r="C3" s="645"/>
      <c r="D3" s="262" t="s">
        <v>43</v>
      </c>
      <c r="E3" s="651"/>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row>
    <row r="4" spans="1:34" ht="24.6" customHeight="1" x14ac:dyDescent="0.3">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row>
    <row r="5" spans="1:34" ht="31.2" customHeight="1" x14ac:dyDescent="0.4">
      <c r="A5" s="25"/>
      <c r="B5" s="57" t="s">
        <v>44</v>
      </c>
      <c r="C5" s="59"/>
      <c r="D5" s="650" t="s">
        <v>45</v>
      </c>
      <c r="E5" s="650"/>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row>
    <row r="6" spans="1:34" ht="15" thickBot="1" x14ac:dyDescent="0.35">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row>
    <row r="7" spans="1:34" ht="30.6" customHeight="1" thickBot="1" x14ac:dyDescent="0.35">
      <c r="A7" s="25"/>
      <c r="B7" s="187" t="s">
        <v>46</v>
      </c>
      <c r="C7" s="188" t="s">
        <v>47</v>
      </c>
      <c r="D7" s="188" t="s">
        <v>48</v>
      </c>
      <c r="E7" s="189" t="s">
        <v>49</v>
      </c>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row>
    <row r="8" spans="1:34" ht="33" customHeight="1" x14ac:dyDescent="0.3">
      <c r="A8" s="25"/>
      <c r="B8" s="646">
        <v>1</v>
      </c>
      <c r="C8" s="168" t="s">
        <v>50</v>
      </c>
      <c r="D8" s="398">
        <v>45777</v>
      </c>
      <c r="E8" s="399"/>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row>
    <row r="9" spans="1:34" ht="303.75" customHeight="1" thickBot="1" x14ac:dyDescent="0.35">
      <c r="A9" s="25"/>
      <c r="B9" s="647"/>
      <c r="C9" s="186" t="str">
        <f>IF('5. Area Habitats'!D11=0,"",'5. Area Habitats'!D11)</f>
        <v>Modified grassland</v>
      </c>
      <c r="D9" s="191" t="e" vm="1">
        <v>#VALUE!</v>
      </c>
      <c r="E9" s="192"/>
      <c r="F9" s="25"/>
      <c r="G9" s="25"/>
      <c r="H9" s="25"/>
      <c r="I9" s="25"/>
      <c r="J9" s="25"/>
      <c r="K9" s="58"/>
      <c r="L9" s="58"/>
      <c r="M9" s="58"/>
      <c r="N9" s="58"/>
      <c r="O9" s="58"/>
      <c r="P9" s="58"/>
      <c r="Q9" s="58"/>
      <c r="R9" s="58"/>
      <c r="S9" s="58"/>
      <c r="T9" s="58"/>
      <c r="U9" s="58"/>
      <c r="V9" s="58"/>
      <c r="W9" s="58"/>
      <c r="X9" s="58"/>
      <c r="Y9" s="58"/>
      <c r="Z9" s="58"/>
      <c r="AA9" s="58"/>
      <c r="AB9" s="58"/>
      <c r="AC9" s="58"/>
      <c r="AD9" s="58"/>
      <c r="AE9" s="58"/>
      <c r="AF9" s="58"/>
      <c r="AG9" s="58"/>
      <c r="AH9" s="58"/>
    </row>
    <row r="10" spans="1:34" ht="33" customHeight="1" x14ac:dyDescent="0.3">
      <c r="A10" s="25"/>
      <c r="B10" s="646">
        <v>2</v>
      </c>
      <c r="C10" s="168" t="s">
        <v>50</v>
      </c>
      <c r="D10" s="398">
        <v>45777</v>
      </c>
      <c r="E10" s="399"/>
      <c r="F10" s="25"/>
      <c r="G10" s="25"/>
      <c r="H10" s="25"/>
      <c r="I10" s="25"/>
      <c r="J10" s="25"/>
      <c r="K10" s="58"/>
      <c r="L10" s="58"/>
      <c r="M10" s="58"/>
      <c r="N10" s="58"/>
      <c r="O10" s="58"/>
      <c r="P10" s="58"/>
      <c r="Q10" s="58"/>
      <c r="R10" s="58"/>
      <c r="S10" s="58"/>
      <c r="T10" s="58"/>
      <c r="U10" s="58"/>
      <c r="V10" s="58"/>
      <c r="W10" s="58"/>
      <c r="X10" s="58"/>
      <c r="Y10" s="58"/>
      <c r="Z10" s="58"/>
      <c r="AA10" s="58"/>
      <c r="AB10" s="58"/>
      <c r="AC10" s="58"/>
      <c r="AD10" s="58"/>
      <c r="AE10" s="58"/>
      <c r="AF10" s="58"/>
      <c r="AG10" s="58"/>
      <c r="AH10" s="58"/>
    </row>
    <row r="11" spans="1:34" ht="303.75" customHeight="1" thickBot="1" x14ac:dyDescent="0.35">
      <c r="A11" s="25"/>
      <c r="B11" s="647"/>
      <c r="C11" s="186" t="str">
        <f>IF('5. Area Habitats'!D12=0,"",'5. Area Habitats'!D12)</f>
        <v>Bare ground</v>
      </c>
      <c r="D11" s="191" t="e" vm="2">
        <v>#VALUE!</v>
      </c>
      <c r="E11" s="192"/>
      <c r="F11" s="25"/>
      <c r="G11" s="25"/>
      <c r="H11" s="25"/>
      <c r="I11" s="25"/>
      <c r="J11" s="25"/>
      <c r="K11" s="58"/>
      <c r="L11" s="58"/>
      <c r="M11" s="58"/>
      <c r="N11" s="58"/>
      <c r="O11" s="58"/>
      <c r="P11" s="58"/>
      <c r="Q11" s="58"/>
      <c r="R11" s="58"/>
      <c r="S11" s="58"/>
      <c r="T11" s="58"/>
      <c r="U11" s="58"/>
      <c r="V11" s="58"/>
      <c r="W11" s="58"/>
      <c r="X11" s="58"/>
      <c r="Y11" s="58"/>
      <c r="Z11" s="58"/>
      <c r="AA11" s="58"/>
      <c r="AB11" s="58"/>
      <c r="AC11" s="58"/>
      <c r="AD11" s="58"/>
      <c r="AE11" s="58"/>
      <c r="AF11" s="58"/>
      <c r="AG11" s="58"/>
      <c r="AH11" s="58"/>
    </row>
    <row r="12" spans="1:34" ht="33" customHeight="1" x14ac:dyDescent="0.3">
      <c r="A12" s="25"/>
      <c r="B12" s="646">
        <v>3</v>
      </c>
      <c r="C12" s="168" t="s">
        <v>50</v>
      </c>
      <c r="D12" s="398">
        <v>45777</v>
      </c>
      <c r="E12" s="399"/>
      <c r="F12" s="25"/>
      <c r="G12" s="25"/>
      <c r="H12" s="25"/>
      <c r="I12" s="25"/>
      <c r="J12" s="25"/>
      <c r="K12" s="58"/>
      <c r="L12" s="58"/>
      <c r="M12" s="58"/>
      <c r="N12" s="58"/>
      <c r="O12" s="58"/>
      <c r="P12" s="58"/>
      <c r="Q12" s="58"/>
      <c r="R12" s="58"/>
      <c r="S12" s="58"/>
      <c r="T12" s="58"/>
      <c r="U12" s="58"/>
      <c r="V12" s="58"/>
      <c r="W12" s="58"/>
      <c r="X12" s="58"/>
      <c r="Y12" s="58"/>
      <c r="Z12" s="58"/>
      <c r="AA12" s="58"/>
      <c r="AB12" s="58"/>
      <c r="AC12" s="58"/>
      <c r="AD12" s="58"/>
      <c r="AE12" s="58"/>
      <c r="AF12" s="58"/>
      <c r="AG12" s="58"/>
      <c r="AH12" s="58"/>
    </row>
    <row r="13" spans="1:34" ht="303.75" customHeight="1" thickBot="1" x14ac:dyDescent="0.35">
      <c r="A13" s="25"/>
      <c r="B13" s="647"/>
      <c r="C13" s="186" t="str">
        <f>IF('5. Area Habitats'!D13=0,"",'5. Area Habitats'!D13)</f>
        <v>Developed land; sealed surface</v>
      </c>
      <c r="D13" s="191" t="e" vm="3">
        <v>#VALUE!</v>
      </c>
      <c r="E13" s="192"/>
      <c r="F13" s="25"/>
      <c r="G13" s="25"/>
      <c r="H13" s="25"/>
      <c r="I13" s="25"/>
      <c r="J13" s="25"/>
      <c r="K13" s="58"/>
      <c r="L13" s="58"/>
      <c r="M13" s="58"/>
      <c r="N13" s="58"/>
      <c r="O13" s="58"/>
      <c r="P13" s="58"/>
      <c r="Q13" s="58"/>
      <c r="R13" s="58"/>
      <c r="S13" s="58"/>
      <c r="T13" s="58"/>
      <c r="U13" s="58"/>
      <c r="V13" s="58"/>
      <c r="W13" s="58"/>
      <c r="X13" s="58"/>
      <c r="Y13" s="58"/>
      <c r="Z13" s="58"/>
      <c r="AA13" s="58"/>
      <c r="AB13" s="58"/>
      <c r="AC13" s="58"/>
      <c r="AD13" s="58"/>
      <c r="AE13" s="58"/>
      <c r="AF13" s="58"/>
      <c r="AG13" s="58"/>
      <c r="AH13" s="58"/>
    </row>
    <row r="14" spans="1:34" ht="33" customHeight="1" x14ac:dyDescent="0.3">
      <c r="A14" s="25"/>
      <c r="B14" s="652">
        <v>4</v>
      </c>
      <c r="C14" s="168" t="s">
        <v>50</v>
      </c>
      <c r="D14" s="400">
        <v>45777</v>
      </c>
      <c r="E14" s="401"/>
      <c r="F14" s="25"/>
      <c r="G14" s="25"/>
      <c r="H14" s="25"/>
      <c r="I14" s="25"/>
      <c r="J14" s="25"/>
      <c r="K14" s="58"/>
      <c r="L14" s="58"/>
      <c r="M14" s="58"/>
      <c r="N14" s="58"/>
      <c r="O14" s="58"/>
      <c r="P14" s="58"/>
      <c r="Q14" s="58"/>
      <c r="R14" s="58"/>
      <c r="S14" s="58"/>
      <c r="T14" s="58"/>
      <c r="U14" s="58"/>
      <c r="V14" s="58"/>
      <c r="W14" s="58"/>
      <c r="X14" s="58"/>
      <c r="Y14" s="58"/>
      <c r="Z14" s="58"/>
      <c r="AA14" s="58"/>
      <c r="AB14" s="58"/>
      <c r="AC14" s="58"/>
      <c r="AD14" s="58"/>
      <c r="AE14" s="58"/>
      <c r="AF14" s="58"/>
      <c r="AG14" s="58"/>
      <c r="AH14" s="58"/>
    </row>
    <row r="15" spans="1:34" ht="303.75" customHeight="1" thickBot="1" x14ac:dyDescent="0.35">
      <c r="A15" s="25"/>
      <c r="B15" s="653"/>
      <c r="C15" s="190" t="str">
        <f>IF('5. Area Habitats'!D14=0,"",'5. Area Habitats'!D14)</f>
        <v>Modified grassland</v>
      </c>
      <c r="D15" s="193" t="e" vm="4">
        <v>#VALUE!</v>
      </c>
      <c r="E15" s="194"/>
      <c r="F15" s="25"/>
      <c r="G15" s="25"/>
      <c r="H15" s="25"/>
      <c r="I15" s="25"/>
      <c r="J15" s="25"/>
      <c r="K15" s="58"/>
      <c r="L15" s="58"/>
      <c r="M15" s="58"/>
      <c r="N15" s="58"/>
      <c r="O15" s="58"/>
      <c r="P15" s="58"/>
      <c r="Q15" s="58"/>
      <c r="R15" s="58"/>
      <c r="S15" s="58"/>
      <c r="T15" s="58"/>
      <c r="U15" s="58"/>
      <c r="V15" s="58"/>
      <c r="W15" s="58"/>
      <c r="X15" s="58"/>
      <c r="Y15" s="58"/>
      <c r="Z15" s="58"/>
      <c r="AA15" s="58"/>
      <c r="AB15" s="58"/>
      <c r="AC15" s="58"/>
      <c r="AD15" s="58"/>
      <c r="AE15" s="58"/>
      <c r="AF15" s="58"/>
      <c r="AG15" s="58"/>
      <c r="AH15" s="58"/>
    </row>
    <row r="16" spans="1:34" ht="33" customHeight="1" x14ac:dyDescent="0.3">
      <c r="A16" s="25"/>
      <c r="B16" s="646">
        <v>5</v>
      </c>
      <c r="C16" s="168" t="s">
        <v>50</v>
      </c>
      <c r="D16" s="398"/>
      <c r="E16" s="399"/>
      <c r="F16" s="25"/>
      <c r="G16" s="25"/>
      <c r="H16" s="25"/>
      <c r="I16" s="25"/>
      <c r="J16" s="25"/>
      <c r="K16" s="58"/>
      <c r="L16" s="58"/>
      <c r="M16" s="58"/>
      <c r="N16" s="58"/>
      <c r="O16" s="58"/>
      <c r="P16" s="58"/>
      <c r="Q16" s="58"/>
      <c r="R16" s="58"/>
      <c r="S16" s="58"/>
      <c r="T16" s="58"/>
      <c r="U16" s="58"/>
      <c r="V16" s="58"/>
      <c r="W16" s="58"/>
      <c r="X16" s="58"/>
      <c r="Y16" s="58"/>
      <c r="Z16" s="58"/>
      <c r="AA16" s="58"/>
      <c r="AB16" s="58"/>
      <c r="AC16" s="58"/>
      <c r="AD16" s="58"/>
      <c r="AE16" s="58"/>
      <c r="AF16" s="58"/>
      <c r="AG16" s="58"/>
      <c r="AH16" s="58"/>
    </row>
    <row r="17" spans="1:34" ht="303.75" customHeight="1" thickBot="1" x14ac:dyDescent="0.35">
      <c r="A17" s="25"/>
      <c r="B17" s="647"/>
      <c r="C17" s="186" t="str">
        <f>IF('5. Area Habitats'!D15=0,"",'5. Area Habitats'!D15)</f>
        <v/>
      </c>
      <c r="D17" s="191"/>
      <c r="E17" s="192"/>
      <c r="F17" s="25"/>
      <c r="G17" s="25"/>
      <c r="H17" s="25"/>
      <c r="I17" s="25"/>
      <c r="J17" s="25"/>
      <c r="K17" s="58"/>
      <c r="L17" s="58"/>
      <c r="M17" s="58"/>
      <c r="N17" s="58"/>
      <c r="O17" s="58"/>
      <c r="P17" s="58"/>
      <c r="Q17" s="58"/>
      <c r="R17" s="58"/>
      <c r="S17" s="58"/>
      <c r="T17" s="58"/>
      <c r="U17" s="58"/>
      <c r="V17" s="58"/>
      <c r="W17" s="58"/>
      <c r="X17" s="58"/>
      <c r="Y17" s="58"/>
      <c r="Z17" s="58"/>
      <c r="AA17" s="58"/>
      <c r="AB17" s="58"/>
      <c r="AC17" s="58"/>
      <c r="AD17" s="58"/>
      <c r="AE17" s="58"/>
      <c r="AF17" s="58"/>
      <c r="AG17" s="58"/>
      <c r="AH17" s="58"/>
    </row>
    <row r="18" spans="1:34" ht="33" customHeight="1" x14ac:dyDescent="0.3">
      <c r="A18" s="25"/>
      <c r="B18" s="646">
        <v>6</v>
      </c>
      <c r="C18" s="168" t="s">
        <v>50</v>
      </c>
      <c r="D18" s="398"/>
      <c r="E18" s="399"/>
      <c r="F18" s="25"/>
      <c r="G18" s="25"/>
      <c r="H18" s="25"/>
      <c r="I18" s="25"/>
      <c r="J18" s="25"/>
      <c r="K18" s="58"/>
      <c r="L18" s="58"/>
      <c r="M18" s="58"/>
      <c r="N18" s="58"/>
      <c r="O18" s="58"/>
      <c r="P18" s="58"/>
      <c r="Q18" s="58"/>
      <c r="R18" s="58"/>
      <c r="S18" s="58"/>
      <c r="T18" s="58"/>
      <c r="U18" s="58"/>
      <c r="V18" s="58"/>
      <c r="W18" s="58"/>
      <c r="X18" s="58"/>
      <c r="Y18" s="58"/>
      <c r="Z18" s="58"/>
      <c r="AA18" s="58"/>
      <c r="AB18" s="58"/>
      <c r="AC18" s="58"/>
      <c r="AD18" s="58"/>
      <c r="AE18" s="58"/>
      <c r="AF18" s="58"/>
      <c r="AG18" s="58"/>
      <c r="AH18" s="58"/>
    </row>
    <row r="19" spans="1:34" ht="303.75" customHeight="1" thickBot="1" x14ac:dyDescent="0.35">
      <c r="A19" s="25"/>
      <c r="B19" s="647"/>
      <c r="C19" s="186" t="str">
        <f>IF('5. Area Habitats'!D16=0,"",'5. Area Habitats'!D16)</f>
        <v/>
      </c>
      <c r="D19" s="191"/>
      <c r="E19" s="192"/>
      <c r="F19" s="25"/>
      <c r="G19" s="25"/>
      <c r="H19" s="25"/>
      <c r="I19" s="25"/>
      <c r="J19" s="25"/>
      <c r="K19" s="58"/>
      <c r="L19" s="58"/>
      <c r="M19" s="58"/>
      <c r="N19" s="58"/>
      <c r="O19" s="58"/>
      <c r="P19" s="58"/>
      <c r="Q19" s="58"/>
      <c r="R19" s="58"/>
      <c r="S19" s="58"/>
      <c r="T19" s="58"/>
      <c r="U19" s="58"/>
      <c r="V19" s="58"/>
      <c r="W19" s="58"/>
      <c r="X19" s="58"/>
      <c r="Y19" s="58"/>
      <c r="Z19" s="58"/>
      <c r="AA19" s="58"/>
      <c r="AB19" s="58"/>
      <c r="AC19" s="58"/>
      <c r="AD19" s="58"/>
      <c r="AE19" s="58"/>
      <c r="AF19" s="58"/>
      <c r="AG19" s="58"/>
      <c r="AH19" s="58"/>
    </row>
    <row r="20" spans="1:34" ht="33" customHeight="1" x14ac:dyDescent="0.3">
      <c r="A20" s="25"/>
      <c r="B20" s="646">
        <v>7</v>
      </c>
      <c r="C20" s="168" t="s">
        <v>50</v>
      </c>
      <c r="D20" s="398"/>
      <c r="E20" s="399"/>
      <c r="F20" s="25"/>
      <c r="G20" s="25"/>
      <c r="H20" s="25"/>
      <c r="I20" s="25"/>
      <c r="J20" s="25"/>
      <c r="K20" s="58"/>
      <c r="L20" s="58"/>
      <c r="M20" s="58"/>
      <c r="N20" s="58"/>
      <c r="O20" s="58"/>
      <c r="P20" s="58"/>
      <c r="Q20" s="58"/>
      <c r="R20" s="58"/>
      <c r="S20" s="58"/>
      <c r="T20" s="58"/>
      <c r="U20" s="58"/>
      <c r="V20" s="58"/>
      <c r="W20" s="58"/>
      <c r="X20" s="58"/>
      <c r="Y20" s="58"/>
      <c r="Z20" s="58"/>
      <c r="AA20" s="58"/>
      <c r="AB20" s="58"/>
      <c r="AC20" s="58"/>
      <c r="AD20" s="58"/>
      <c r="AE20" s="58"/>
      <c r="AF20" s="58"/>
      <c r="AG20" s="58"/>
      <c r="AH20" s="58"/>
    </row>
    <row r="21" spans="1:34" ht="303.75" customHeight="1" thickBot="1" x14ac:dyDescent="0.35">
      <c r="A21" s="25"/>
      <c r="B21" s="647"/>
      <c r="C21" s="186" t="str">
        <f>IF('5. Area Habitats'!D17=0,"",'5. Area Habitats'!D17)</f>
        <v/>
      </c>
      <c r="D21" s="191"/>
      <c r="E21" s="192"/>
      <c r="F21" s="25"/>
      <c r="G21" s="25"/>
      <c r="H21" s="25"/>
      <c r="I21" s="25"/>
      <c r="J21" s="25"/>
      <c r="K21" s="58"/>
      <c r="L21" s="58"/>
      <c r="M21" s="58"/>
      <c r="N21" s="58"/>
      <c r="O21" s="58"/>
      <c r="P21" s="58"/>
      <c r="Q21" s="58"/>
      <c r="R21" s="58"/>
      <c r="S21" s="58"/>
      <c r="T21" s="58"/>
      <c r="U21" s="58"/>
      <c r="V21" s="58"/>
      <c r="W21" s="58"/>
      <c r="X21" s="58"/>
      <c r="Y21" s="58"/>
      <c r="Z21" s="58"/>
      <c r="AA21" s="58"/>
      <c r="AB21" s="58"/>
      <c r="AC21" s="58"/>
      <c r="AD21" s="58"/>
      <c r="AE21" s="58"/>
      <c r="AF21" s="58"/>
      <c r="AG21" s="58"/>
      <c r="AH21" s="58"/>
    </row>
    <row r="22" spans="1:34" ht="33" customHeight="1" x14ac:dyDescent="0.3">
      <c r="A22" s="25"/>
      <c r="B22" s="646">
        <v>8</v>
      </c>
      <c r="C22" s="168" t="s">
        <v>50</v>
      </c>
      <c r="D22" s="398"/>
      <c r="E22" s="399"/>
      <c r="F22" s="25"/>
      <c r="G22" s="25"/>
      <c r="H22" s="25"/>
      <c r="I22" s="25"/>
      <c r="J22" s="25"/>
      <c r="K22" s="58"/>
      <c r="L22" s="58"/>
      <c r="M22" s="58"/>
      <c r="N22" s="58"/>
      <c r="O22" s="58"/>
      <c r="P22" s="58"/>
      <c r="Q22" s="58"/>
      <c r="R22" s="58"/>
      <c r="S22" s="58"/>
      <c r="T22" s="58"/>
      <c r="U22" s="58"/>
      <c r="V22" s="58"/>
      <c r="W22" s="58"/>
      <c r="X22" s="58"/>
      <c r="Y22" s="58"/>
      <c r="Z22" s="58"/>
      <c r="AA22" s="58"/>
      <c r="AB22" s="58"/>
      <c r="AC22" s="58"/>
      <c r="AD22" s="58"/>
      <c r="AE22" s="58"/>
      <c r="AF22" s="58"/>
      <c r="AG22" s="58"/>
      <c r="AH22" s="58"/>
    </row>
    <row r="23" spans="1:34" ht="303.75" customHeight="1" thickBot="1" x14ac:dyDescent="0.35">
      <c r="A23" s="25"/>
      <c r="B23" s="647"/>
      <c r="C23" s="186" t="str">
        <f>IF('5. Area Habitats'!D18=0,"",'5. Area Habitats'!D18)</f>
        <v/>
      </c>
      <c r="D23" s="191"/>
      <c r="E23" s="192"/>
      <c r="F23" s="25"/>
      <c r="G23" s="25"/>
      <c r="H23" s="25"/>
      <c r="I23" s="25"/>
      <c r="J23" s="25"/>
      <c r="K23" s="58"/>
      <c r="L23" s="58"/>
      <c r="M23" s="58"/>
      <c r="N23" s="58"/>
      <c r="O23" s="58"/>
      <c r="P23" s="58"/>
      <c r="Q23" s="58"/>
      <c r="R23" s="58"/>
      <c r="S23" s="58"/>
      <c r="T23" s="58"/>
      <c r="U23" s="58"/>
      <c r="V23" s="58"/>
      <c r="W23" s="58"/>
      <c r="X23" s="58"/>
      <c r="Y23" s="58"/>
      <c r="Z23" s="58"/>
      <c r="AA23" s="58"/>
      <c r="AB23" s="58"/>
      <c r="AC23" s="58"/>
      <c r="AD23" s="58"/>
      <c r="AE23" s="58"/>
      <c r="AF23" s="58"/>
      <c r="AG23" s="58"/>
      <c r="AH23" s="58"/>
    </row>
    <row r="24" spans="1:34" ht="33" customHeight="1" x14ac:dyDescent="0.3">
      <c r="A24" s="25"/>
      <c r="B24" s="646">
        <v>9</v>
      </c>
      <c r="C24" s="168" t="s">
        <v>50</v>
      </c>
      <c r="D24" s="398"/>
      <c r="E24" s="399"/>
      <c r="F24" s="25"/>
      <c r="G24" s="25"/>
      <c r="H24" s="25"/>
      <c r="I24" s="25"/>
      <c r="J24" s="25"/>
      <c r="K24" s="58"/>
      <c r="L24" s="58"/>
      <c r="M24" s="58"/>
      <c r="N24" s="58"/>
      <c r="O24" s="58"/>
      <c r="P24" s="58"/>
      <c r="Q24" s="58"/>
      <c r="R24" s="58"/>
      <c r="S24" s="58"/>
      <c r="T24" s="58"/>
      <c r="U24" s="58"/>
      <c r="V24" s="58"/>
      <c r="W24" s="58"/>
      <c r="X24" s="58"/>
      <c r="Y24" s="58"/>
      <c r="Z24" s="58"/>
      <c r="AA24" s="58"/>
      <c r="AB24" s="58"/>
      <c r="AC24" s="58"/>
      <c r="AD24" s="58"/>
      <c r="AE24" s="58"/>
      <c r="AF24" s="58"/>
      <c r="AG24" s="58"/>
      <c r="AH24" s="58"/>
    </row>
    <row r="25" spans="1:34" ht="303.75" customHeight="1" thickBot="1" x14ac:dyDescent="0.35">
      <c r="A25" s="25"/>
      <c r="B25" s="647"/>
      <c r="C25" s="186" t="str">
        <f>IF('5. Area Habitats'!D19=0,"",'5. Area Habitats'!D19)</f>
        <v/>
      </c>
      <c r="D25" s="191"/>
      <c r="E25" s="192"/>
      <c r="F25" s="25"/>
      <c r="G25" s="25"/>
      <c r="H25" s="25"/>
      <c r="I25" s="25"/>
      <c r="J25" s="25"/>
      <c r="K25" s="58"/>
      <c r="L25" s="58"/>
      <c r="M25" s="58"/>
      <c r="N25" s="58"/>
      <c r="O25" s="58"/>
      <c r="P25" s="58"/>
      <c r="Q25" s="58"/>
      <c r="R25" s="58"/>
      <c r="S25" s="58"/>
      <c r="T25" s="58"/>
      <c r="U25" s="58"/>
      <c r="V25" s="58"/>
      <c r="W25" s="58"/>
      <c r="X25" s="58"/>
      <c r="Y25" s="58"/>
      <c r="Z25" s="58"/>
      <c r="AA25" s="58"/>
      <c r="AB25" s="58"/>
      <c r="AC25" s="58"/>
      <c r="AD25" s="58"/>
      <c r="AE25" s="58"/>
      <c r="AF25" s="58"/>
      <c r="AG25" s="58"/>
      <c r="AH25" s="58"/>
    </row>
    <row r="26" spans="1:34" ht="33" customHeight="1" x14ac:dyDescent="0.3">
      <c r="A26" s="25"/>
      <c r="B26" s="646">
        <v>10</v>
      </c>
      <c r="C26" s="168" t="s">
        <v>50</v>
      </c>
      <c r="D26" s="398"/>
      <c r="E26" s="399"/>
      <c r="F26" s="25"/>
      <c r="G26" s="25"/>
      <c r="H26" s="25"/>
      <c r="I26" s="25"/>
      <c r="J26" s="25"/>
      <c r="K26" s="58"/>
      <c r="L26" s="58"/>
      <c r="M26" s="58"/>
      <c r="N26" s="58"/>
      <c r="O26" s="58"/>
      <c r="P26" s="58"/>
      <c r="Q26" s="58"/>
      <c r="R26" s="58"/>
      <c r="S26" s="58"/>
      <c r="T26" s="58"/>
      <c r="U26" s="58"/>
      <c r="V26" s="58"/>
      <c r="W26" s="58"/>
      <c r="X26" s="58"/>
      <c r="Y26" s="58"/>
      <c r="Z26" s="58"/>
      <c r="AA26" s="58"/>
      <c r="AB26" s="58"/>
      <c r="AC26" s="58"/>
      <c r="AD26" s="58"/>
      <c r="AE26" s="58"/>
      <c r="AF26" s="58"/>
      <c r="AG26" s="58"/>
      <c r="AH26" s="58"/>
    </row>
    <row r="27" spans="1:34" ht="303.75" customHeight="1" thickBot="1" x14ac:dyDescent="0.35">
      <c r="A27" s="25"/>
      <c r="B27" s="647"/>
      <c r="C27" s="186" t="str">
        <f>IF('5. Area Habitats'!D20=0,"",'5. Area Habitats'!D20)</f>
        <v/>
      </c>
      <c r="D27" s="191"/>
      <c r="E27" s="192"/>
      <c r="F27" s="25"/>
      <c r="G27" s="25"/>
      <c r="H27" s="25"/>
      <c r="I27" s="25"/>
      <c r="J27" s="25"/>
      <c r="K27" s="58"/>
      <c r="L27" s="58"/>
      <c r="M27" s="58"/>
      <c r="N27" s="58"/>
      <c r="O27" s="58"/>
      <c r="P27" s="58"/>
      <c r="Q27" s="58"/>
      <c r="R27" s="58"/>
      <c r="S27" s="58"/>
      <c r="T27" s="58"/>
      <c r="U27" s="58"/>
      <c r="V27" s="58"/>
      <c r="W27" s="58"/>
      <c r="X27" s="58"/>
      <c r="Y27" s="58"/>
      <c r="Z27" s="58"/>
      <c r="AA27" s="58"/>
      <c r="AB27" s="58"/>
      <c r="AC27" s="58"/>
      <c r="AD27" s="58"/>
      <c r="AE27" s="58"/>
      <c r="AF27" s="58"/>
      <c r="AG27" s="58"/>
      <c r="AH27" s="58"/>
    </row>
    <row r="28" spans="1:34" ht="33" customHeight="1" x14ac:dyDescent="0.3">
      <c r="A28" s="25"/>
      <c r="B28" s="646">
        <v>11</v>
      </c>
      <c r="C28" s="168" t="s">
        <v>50</v>
      </c>
      <c r="D28" s="398"/>
      <c r="E28" s="399"/>
      <c r="F28" s="25"/>
      <c r="G28" s="25"/>
      <c r="H28" s="25"/>
      <c r="I28" s="25"/>
      <c r="J28" s="25"/>
      <c r="K28" s="58"/>
      <c r="L28" s="58"/>
      <c r="M28" s="58"/>
      <c r="N28" s="58"/>
      <c r="O28" s="58"/>
      <c r="P28" s="58"/>
      <c r="Q28" s="58"/>
      <c r="R28" s="58"/>
      <c r="S28" s="58"/>
      <c r="T28" s="58"/>
      <c r="U28" s="58"/>
      <c r="V28" s="58"/>
      <c r="W28" s="58"/>
      <c r="X28" s="58"/>
      <c r="Y28" s="58"/>
      <c r="Z28" s="58"/>
      <c r="AA28" s="58"/>
      <c r="AB28" s="58"/>
      <c r="AC28" s="58"/>
      <c r="AD28" s="58"/>
      <c r="AE28" s="58"/>
      <c r="AF28" s="58"/>
      <c r="AG28" s="58"/>
      <c r="AH28" s="58"/>
    </row>
    <row r="29" spans="1:34" ht="303.75" customHeight="1" thickBot="1" x14ac:dyDescent="0.35">
      <c r="A29" s="25"/>
      <c r="B29" s="647"/>
      <c r="C29" s="186" t="str">
        <f>IF('5. Area Habitats'!D21=0,"",'5. Area Habitats'!D21)</f>
        <v/>
      </c>
      <c r="D29" s="191"/>
      <c r="E29" s="192"/>
      <c r="F29" s="25"/>
      <c r="G29" s="25"/>
      <c r="H29" s="25"/>
      <c r="I29" s="25"/>
      <c r="J29" s="25"/>
      <c r="K29" s="58"/>
      <c r="L29" s="58"/>
      <c r="M29" s="58"/>
      <c r="N29" s="58"/>
      <c r="O29" s="58"/>
      <c r="P29" s="58"/>
      <c r="Q29" s="58"/>
      <c r="R29" s="58"/>
      <c r="S29" s="58"/>
      <c r="T29" s="58"/>
      <c r="U29" s="58"/>
      <c r="V29" s="58"/>
      <c r="W29" s="58"/>
      <c r="X29" s="58"/>
      <c r="Y29" s="58"/>
      <c r="Z29" s="58"/>
      <c r="AA29" s="58"/>
      <c r="AB29" s="58"/>
      <c r="AC29" s="58"/>
      <c r="AD29" s="58"/>
      <c r="AE29" s="58"/>
      <c r="AF29" s="58"/>
      <c r="AG29" s="58"/>
      <c r="AH29" s="58"/>
    </row>
    <row r="30" spans="1:34" ht="33" customHeight="1" x14ac:dyDescent="0.3">
      <c r="A30" s="25"/>
      <c r="B30" s="646">
        <v>12</v>
      </c>
      <c r="C30" s="168" t="s">
        <v>50</v>
      </c>
      <c r="D30" s="398"/>
      <c r="E30" s="399"/>
      <c r="F30" s="25"/>
      <c r="G30" s="25"/>
      <c r="H30" s="25"/>
      <c r="I30" s="25"/>
      <c r="J30" s="25"/>
      <c r="K30" s="58"/>
      <c r="L30" s="58"/>
      <c r="M30" s="58"/>
      <c r="N30" s="58"/>
      <c r="O30" s="58"/>
      <c r="P30" s="58"/>
      <c r="Q30" s="58"/>
      <c r="R30" s="58"/>
      <c r="S30" s="58"/>
      <c r="T30" s="58"/>
      <c r="U30" s="58"/>
      <c r="V30" s="58"/>
      <c r="W30" s="58"/>
      <c r="X30" s="58"/>
      <c r="Y30" s="58"/>
      <c r="Z30" s="58"/>
      <c r="AA30" s="58"/>
      <c r="AB30" s="58"/>
      <c r="AC30" s="58"/>
      <c r="AD30" s="58"/>
      <c r="AE30" s="58"/>
      <c r="AF30" s="58"/>
      <c r="AG30" s="58"/>
      <c r="AH30" s="58"/>
    </row>
    <row r="31" spans="1:34" ht="303.75" customHeight="1" thickBot="1" x14ac:dyDescent="0.35">
      <c r="A31" s="25"/>
      <c r="B31" s="647"/>
      <c r="C31" s="186" t="str">
        <f>IF('5. Area Habitats'!D22=0,"",'5. Area Habitats'!D22)</f>
        <v/>
      </c>
      <c r="D31" s="191"/>
      <c r="E31" s="192"/>
      <c r="F31" s="25"/>
      <c r="G31" s="25"/>
      <c r="H31" s="25"/>
      <c r="I31" s="25"/>
      <c r="J31" s="25"/>
      <c r="K31" s="58"/>
      <c r="L31" s="58"/>
      <c r="M31" s="58"/>
      <c r="N31" s="58"/>
      <c r="O31" s="58"/>
      <c r="P31" s="58"/>
      <c r="Q31" s="58"/>
      <c r="R31" s="58"/>
      <c r="S31" s="58"/>
      <c r="T31" s="58"/>
      <c r="U31" s="58"/>
      <c r="V31" s="58"/>
      <c r="W31" s="58"/>
      <c r="X31" s="58"/>
      <c r="Y31" s="58"/>
      <c r="Z31" s="58"/>
      <c r="AA31" s="58"/>
      <c r="AB31" s="58"/>
      <c r="AC31" s="58"/>
      <c r="AD31" s="58"/>
      <c r="AE31" s="58"/>
      <c r="AF31" s="58"/>
      <c r="AG31" s="58"/>
      <c r="AH31" s="58"/>
    </row>
    <row r="32" spans="1:34" ht="33" customHeight="1" x14ac:dyDescent="0.3">
      <c r="A32" s="25"/>
      <c r="B32" s="646">
        <v>13</v>
      </c>
      <c r="C32" s="168" t="s">
        <v>50</v>
      </c>
      <c r="D32" s="398"/>
      <c r="E32" s="399"/>
      <c r="F32" s="25"/>
      <c r="G32" s="25"/>
      <c r="H32" s="25"/>
      <c r="I32" s="25"/>
      <c r="J32" s="25"/>
      <c r="K32" s="58"/>
      <c r="L32" s="58"/>
      <c r="M32" s="58"/>
      <c r="N32" s="58"/>
      <c r="O32" s="58"/>
      <c r="P32" s="58"/>
      <c r="Q32" s="58"/>
      <c r="R32" s="58"/>
      <c r="S32" s="58"/>
      <c r="T32" s="58"/>
      <c r="U32" s="58"/>
      <c r="V32" s="58"/>
      <c r="W32" s="58"/>
      <c r="X32" s="58"/>
      <c r="Y32" s="58"/>
      <c r="Z32" s="58"/>
      <c r="AA32" s="58"/>
      <c r="AB32" s="58"/>
      <c r="AC32" s="58"/>
      <c r="AD32" s="58"/>
      <c r="AE32" s="58"/>
      <c r="AF32" s="58"/>
      <c r="AG32" s="58"/>
      <c r="AH32" s="58"/>
    </row>
    <row r="33" spans="1:34" ht="303.75" customHeight="1" thickBot="1" x14ac:dyDescent="0.35">
      <c r="A33" s="25"/>
      <c r="B33" s="647"/>
      <c r="C33" s="186" t="str">
        <f>IF('5. Area Habitats'!D23=0,"",'5. Area Habitats'!D23)</f>
        <v/>
      </c>
      <c r="D33" s="191"/>
      <c r="E33" s="192"/>
      <c r="F33" s="25"/>
      <c r="G33" s="25"/>
      <c r="H33" s="25"/>
      <c r="I33" s="25"/>
      <c r="J33" s="25"/>
      <c r="K33" s="58"/>
      <c r="L33" s="58"/>
      <c r="M33" s="58"/>
      <c r="N33" s="58"/>
      <c r="O33" s="58"/>
      <c r="P33" s="58"/>
      <c r="Q33" s="58"/>
      <c r="R33" s="58"/>
      <c r="S33" s="58"/>
      <c r="T33" s="58"/>
      <c r="U33" s="58"/>
      <c r="V33" s="58"/>
      <c r="W33" s="58"/>
      <c r="X33" s="58"/>
      <c r="Y33" s="58"/>
      <c r="Z33" s="58"/>
      <c r="AA33" s="58"/>
      <c r="AB33" s="58"/>
      <c r="AC33" s="58"/>
      <c r="AD33" s="58"/>
      <c r="AE33" s="58"/>
      <c r="AF33" s="58"/>
      <c r="AG33" s="58"/>
      <c r="AH33" s="58"/>
    </row>
    <row r="34" spans="1:34" ht="33" customHeight="1" x14ac:dyDescent="0.3">
      <c r="A34" s="25"/>
      <c r="B34" s="646">
        <v>14</v>
      </c>
      <c r="C34" s="168" t="s">
        <v>50</v>
      </c>
      <c r="D34" s="398"/>
      <c r="E34" s="399"/>
      <c r="F34" s="25"/>
      <c r="G34" s="25"/>
      <c r="H34" s="25"/>
      <c r="I34" s="25"/>
      <c r="J34" s="25"/>
      <c r="K34" s="58"/>
      <c r="L34" s="58"/>
      <c r="M34" s="58"/>
      <c r="N34" s="58"/>
      <c r="O34" s="58"/>
      <c r="P34" s="58"/>
      <c r="Q34" s="58"/>
      <c r="R34" s="58"/>
      <c r="S34" s="58"/>
      <c r="T34" s="58"/>
      <c r="U34" s="58"/>
      <c r="V34" s="58"/>
      <c r="W34" s="58"/>
      <c r="X34" s="58"/>
      <c r="Y34" s="58"/>
      <c r="Z34" s="58"/>
      <c r="AA34" s="58"/>
      <c r="AB34" s="58"/>
      <c r="AC34" s="58"/>
      <c r="AD34" s="58"/>
      <c r="AE34" s="58"/>
      <c r="AF34" s="58"/>
      <c r="AG34" s="58"/>
      <c r="AH34" s="58"/>
    </row>
    <row r="35" spans="1:34" ht="303.75" customHeight="1" thickBot="1" x14ac:dyDescent="0.35">
      <c r="A35" s="25"/>
      <c r="B35" s="647"/>
      <c r="C35" s="186" t="str">
        <f>IF('5. Area Habitats'!D24=0,"",'5. Area Habitats'!D24)</f>
        <v/>
      </c>
      <c r="D35" s="191"/>
      <c r="E35" s="192"/>
      <c r="F35" s="25"/>
      <c r="G35" s="25"/>
      <c r="H35" s="25"/>
      <c r="I35" s="25"/>
      <c r="J35" s="25"/>
      <c r="K35" s="58"/>
      <c r="L35" s="58"/>
      <c r="M35" s="58"/>
      <c r="N35" s="58"/>
      <c r="O35" s="58"/>
      <c r="P35" s="58"/>
      <c r="Q35" s="58"/>
      <c r="R35" s="58"/>
      <c r="S35" s="58"/>
      <c r="T35" s="58"/>
      <c r="U35" s="58"/>
      <c r="V35" s="58"/>
      <c r="W35" s="58"/>
      <c r="X35" s="58"/>
      <c r="Y35" s="58"/>
      <c r="Z35" s="58"/>
      <c r="AA35" s="58"/>
      <c r="AB35" s="58"/>
      <c r="AC35" s="58"/>
      <c r="AD35" s="58"/>
      <c r="AE35" s="58"/>
      <c r="AF35" s="58"/>
      <c r="AG35" s="58"/>
      <c r="AH35" s="58"/>
    </row>
    <row r="36" spans="1:34" ht="33" customHeight="1" x14ac:dyDescent="0.3">
      <c r="A36" s="25"/>
      <c r="B36" s="646">
        <v>15</v>
      </c>
      <c r="C36" s="168" t="s">
        <v>50</v>
      </c>
      <c r="D36" s="398"/>
      <c r="E36" s="399"/>
      <c r="F36" s="25"/>
      <c r="G36" s="25"/>
      <c r="H36" s="25"/>
      <c r="I36" s="25"/>
      <c r="J36" s="25"/>
      <c r="K36" s="58"/>
      <c r="L36" s="58"/>
      <c r="M36" s="58"/>
      <c r="N36" s="58"/>
      <c r="O36" s="58"/>
      <c r="P36" s="58"/>
      <c r="Q36" s="58"/>
      <c r="R36" s="58"/>
      <c r="S36" s="58"/>
      <c r="T36" s="58"/>
      <c r="U36" s="58"/>
      <c r="V36" s="58"/>
      <c r="W36" s="58"/>
      <c r="X36" s="58"/>
      <c r="Y36" s="58"/>
      <c r="Z36" s="58"/>
      <c r="AA36" s="58"/>
      <c r="AB36" s="58"/>
      <c r="AC36" s="58"/>
      <c r="AD36" s="58"/>
      <c r="AE36" s="58"/>
      <c r="AF36" s="58"/>
      <c r="AG36" s="58"/>
      <c r="AH36" s="58"/>
    </row>
    <row r="37" spans="1:34" ht="303.75" customHeight="1" thickBot="1" x14ac:dyDescent="0.35">
      <c r="A37" s="25"/>
      <c r="B37" s="647"/>
      <c r="C37" s="186" t="str">
        <f>IF('5. Area Habitats'!D25=0,"",'5. Area Habitats'!D25)</f>
        <v/>
      </c>
      <c r="D37" s="191"/>
      <c r="E37" s="192"/>
      <c r="F37" s="25"/>
      <c r="G37" s="25"/>
      <c r="H37" s="25"/>
      <c r="I37" s="25"/>
      <c r="J37" s="25"/>
      <c r="K37" s="58"/>
      <c r="L37" s="58"/>
      <c r="M37" s="58"/>
      <c r="N37" s="58"/>
      <c r="O37" s="58"/>
      <c r="P37" s="58"/>
      <c r="Q37" s="58"/>
      <c r="R37" s="58"/>
      <c r="S37" s="58"/>
      <c r="T37" s="58"/>
      <c r="U37" s="58"/>
      <c r="V37" s="58"/>
      <c r="W37" s="58"/>
      <c r="X37" s="58"/>
      <c r="Y37" s="58"/>
      <c r="Z37" s="58"/>
      <c r="AA37" s="58"/>
      <c r="AB37" s="58"/>
      <c r="AC37" s="58"/>
      <c r="AD37" s="58"/>
      <c r="AE37" s="58"/>
      <c r="AF37" s="58"/>
      <c r="AG37" s="58"/>
      <c r="AH37" s="58"/>
    </row>
    <row r="38" spans="1:34" ht="33" customHeight="1" x14ac:dyDescent="0.3">
      <c r="A38" s="25"/>
      <c r="B38" s="646">
        <v>16</v>
      </c>
      <c r="C38" s="168" t="s">
        <v>50</v>
      </c>
      <c r="D38" s="398"/>
      <c r="E38" s="399"/>
      <c r="F38" s="25"/>
      <c r="G38" s="25"/>
      <c r="H38" s="25"/>
      <c r="I38" s="25"/>
      <c r="J38" s="25"/>
      <c r="K38" s="58"/>
      <c r="L38" s="58"/>
      <c r="M38" s="58"/>
      <c r="N38" s="58"/>
      <c r="O38" s="58"/>
      <c r="P38" s="58"/>
      <c r="Q38" s="58"/>
      <c r="R38" s="58"/>
      <c r="S38" s="58"/>
      <c r="T38" s="58"/>
      <c r="U38" s="58"/>
      <c r="V38" s="58"/>
      <c r="W38" s="58"/>
      <c r="X38" s="58"/>
      <c r="Y38" s="58"/>
      <c r="Z38" s="58"/>
      <c r="AA38" s="58"/>
      <c r="AB38" s="58"/>
      <c r="AC38" s="58"/>
      <c r="AD38" s="58"/>
      <c r="AE38" s="58"/>
      <c r="AF38" s="58"/>
      <c r="AG38" s="58"/>
      <c r="AH38" s="58"/>
    </row>
    <row r="39" spans="1:34" ht="303.75" customHeight="1" thickBot="1" x14ac:dyDescent="0.35">
      <c r="A39" s="25"/>
      <c r="B39" s="647"/>
      <c r="C39" s="186" t="str">
        <f>IF('5. Area Habitats'!D26=0,"",'5. Area Habitats'!D26)</f>
        <v/>
      </c>
      <c r="D39" s="191"/>
      <c r="E39" s="192"/>
      <c r="F39" s="25"/>
      <c r="G39" s="25"/>
      <c r="H39" s="25"/>
      <c r="I39" s="25"/>
      <c r="J39" s="25"/>
      <c r="K39" s="58"/>
      <c r="L39" s="58"/>
      <c r="M39" s="58"/>
      <c r="N39" s="58"/>
      <c r="O39" s="58"/>
      <c r="P39" s="58"/>
      <c r="Q39" s="58"/>
      <c r="R39" s="58"/>
      <c r="S39" s="58"/>
      <c r="T39" s="58"/>
      <c r="U39" s="58"/>
      <c r="V39" s="58"/>
      <c r="W39" s="58"/>
      <c r="X39" s="58"/>
      <c r="Y39" s="58"/>
      <c r="Z39" s="58"/>
      <c r="AA39" s="58"/>
      <c r="AB39" s="58"/>
      <c r="AC39" s="58"/>
      <c r="AD39" s="58"/>
      <c r="AE39" s="58"/>
      <c r="AF39" s="58"/>
      <c r="AG39" s="58"/>
      <c r="AH39" s="58"/>
    </row>
    <row r="40" spans="1:34" ht="33" customHeight="1" x14ac:dyDescent="0.3">
      <c r="A40" s="25"/>
      <c r="B40" s="646">
        <v>17</v>
      </c>
      <c r="C40" s="168" t="s">
        <v>50</v>
      </c>
      <c r="D40" s="398"/>
      <c r="E40" s="399"/>
      <c r="F40" s="25"/>
      <c r="G40" s="25"/>
      <c r="H40" s="25"/>
      <c r="I40" s="25"/>
      <c r="J40" s="25"/>
      <c r="K40" s="58"/>
      <c r="L40" s="58"/>
      <c r="M40" s="58"/>
      <c r="N40" s="58"/>
      <c r="O40" s="58"/>
      <c r="P40" s="58"/>
      <c r="Q40" s="58"/>
      <c r="R40" s="58"/>
      <c r="S40" s="58"/>
      <c r="T40" s="58"/>
      <c r="U40" s="58"/>
      <c r="V40" s="58"/>
      <c r="W40" s="58"/>
      <c r="X40" s="58"/>
      <c r="Y40" s="58"/>
      <c r="Z40" s="58"/>
      <c r="AA40" s="58"/>
      <c r="AB40" s="58"/>
      <c r="AC40" s="58"/>
      <c r="AD40" s="58"/>
      <c r="AE40" s="58"/>
      <c r="AF40" s="58"/>
      <c r="AG40" s="58"/>
      <c r="AH40" s="58"/>
    </row>
    <row r="41" spans="1:34" ht="303.75" customHeight="1" thickBot="1" x14ac:dyDescent="0.35">
      <c r="A41" s="25"/>
      <c r="B41" s="647"/>
      <c r="C41" s="186" t="str">
        <f>IF('5. Area Habitats'!D27=0,"",'5. Area Habitats'!D27)</f>
        <v/>
      </c>
      <c r="D41" s="191"/>
      <c r="E41" s="192"/>
      <c r="F41" s="25"/>
      <c r="G41" s="25"/>
      <c r="H41" s="25"/>
      <c r="I41" s="25"/>
      <c r="J41" s="25"/>
      <c r="K41" s="58"/>
      <c r="L41" s="58"/>
      <c r="M41" s="58"/>
      <c r="N41" s="58"/>
      <c r="O41" s="58"/>
      <c r="P41" s="58"/>
      <c r="Q41" s="58"/>
      <c r="R41" s="58"/>
      <c r="S41" s="58"/>
      <c r="T41" s="58"/>
      <c r="U41" s="58"/>
      <c r="V41" s="58"/>
      <c r="W41" s="58"/>
      <c r="X41" s="58"/>
      <c r="Y41" s="58"/>
      <c r="Z41" s="58"/>
      <c r="AA41" s="58"/>
      <c r="AB41" s="58"/>
      <c r="AC41" s="58"/>
      <c r="AD41" s="58"/>
      <c r="AE41" s="58"/>
      <c r="AF41" s="58"/>
      <c r="AG41" s="58"/>
      <c r="AH41" s="58"/>
    </row>
    <row r="42" spans="1:34" ht="33" customHeight="1" x14ac:dyDescent="0.3">
      <c r="A42" s="25"/>
      <c r="B42" s="646">
        <v>18</v>
      </c>
      <c r="C42" s="168" t="s">
        <v>50</v>
      </c>
      <c r="D42" s="398"/>
      <c r="E42" s="399"/>
      <c r="F42" s="25"/>
      <c r="G42" s="25"/>
      <c r="H42" s="25"/>
      <c r="I42" s="25"/>
      <c r="J42" s="25"/>
      <c r="K42" s="58"/>
      <c r="L42" s="58"/>
      <c r="M42" s="58"/>
      <c r="N42" s="58"/>
      <c r="O42" s="58"/>
      <c r="P42" s="58"/>
      <c r="Q42" s="58"/>
      <c r="R42" s="58"/>
      <c r="S42" s="58"/>
      <c r="T42" s="58"/>
      <c r="U42" s="58"/>
      <c r="V42" s="58"/>
      <c r="W42" s="58"/>
      <c r="X42" s="58"/>
      <c r="Y42" s="58"/>
      <c r="Z42" s="58"/>
      <c r="AA42" s="58"/>
      <c r="AB42" s="58"/>
      <c r="AC42" s="58"/>
      <c r="AD42" s="58"/>
      <c r="AE42" s="58"/>
      <c r="AF42" s="58"/>
      <c r="AG42" s="58"/>
      <c r="AH42" s="58"/>
    </row>
    <row r="43" spans="1:34" ht="303.75" customHeight="1" thickBot="1" x14ac:dyDescent="0.35">
      <c r="A43" s="25"/>
      <c r="B43" s="647"/>
      <c r="C43" s="186" t="str">
        <f>IF('5. Area Habitats'!D28=0,"",'5. Area Habitats'!D28)</f>
        <v/>
      </c>
      <c r="D43" s="191"/>
      <c r="E43" s="192"/>
      <c r="F43" s="25"/>
      <c r="G43" s="25"/>
      <c r="H43" s="25"/>
      <c r="I43" s="25"/>
      <c r="J43" s="25"/>
      <c r="K43" s="58"/>
      <c r="L43" s="58"/>
      <c r="M43" s="58"/>
      <c r="N43" s="58"/>
      <c r="O43" s="58"/>
      <c r="P43" s="58"/>
      <c r="Q43" s="58"/>
      <c r="R43" s="58"/>
      <c r="S43" s="58"/>
      <c r="T43" s="58"/>
      <c r="U43" s="58"/>
      <c r="V43" s="58"/>
      <c r="W43" s="58"/>
      <c r="X43" s="58"/>
      <c r="Y43" s="58"/>
      <c r="Z43" s="58"/>
      <c r="AA43" s="58"/>
      <c r="AB43" s="58"/>
      <c r="AC43" s="58"/>
      <c r="AD43" s="58"/>
      <c r="AE43" s="58"/>
      <c r="AF43" s="58"/>
      <c r="AG43" s="58"/>
      <c r="AH43" s="58"/>
    </row>
    <row r="44" spans="1:34" ht="33" customHeight="1" x14ac:dyDescent="0.3">
      <c r="A44" s="25"/>
      <c r="B44" s="646">
        <v>19</v>
      </c>
      <c r="C44" s="168" t="s">
        <v>50</v>
      </c>
      <c r="D44" s="398"/>
      <c r="E44" s="399"/>
      <c r="F44" s="25"/>
      <c r="G44" s="25"/>
      <c r="H44" s="25"/>
      <c r="I44" s="25"/>
      <c r="J44" s="25"/>
      <c r="K44" s="58"/>
      <c r="L44" s="58"/>
      <c r="M44" s="58"/>
      <c r="N44" s="58"/>
      <c r="O44" s="58"/>
      <c r="P44" s="58"/>
      <c r="Q44" s="58"/>
      <c r="R44" s="58"/>
      <c r="S44" s="58"/>
      <c r="T44" s="58"/>
      <c r="U44" s="58"/>
      <c r="V44" s="58"/>
      <c r="W44" s="58"/>
      <c r="X44" s="58"/>
      <c r="Y44" s="58"/>
      <c r="Z44" s="58"/>
      <c r="AA44" s="58"/>
      <c r="AB44" s="58"/>
      <c r="AC44" s="58"/>
      <c r="AD44" s="58"/>
      <c r="AE44" s="58"/>
      <c r="AF44" s="58"/>
      <c r="AG44" s="58"/>
      <c r="AH44" s="58"/>
    </row>
    <row r="45" spans="1:34" ht="303.75" customHeight="1" thickBot="1" x14ac:dyDescent="0.35">
      <c r="A45" s="25"/>
      <c r="B45" s="647"/>
      <c r="C45" s="186" t="str">
        <f>IF('5. Area Habitats'!D29=0,"",'5. Area Habitats'!D29)</f>
        <v/>
      </c>
      <c r="D45" s="191"/>
      <c r="E45" s="192"/>
      <c r="F45" s="25"/>
      <c r="G45" s="25"/>
      <c r="H45" s="25"/>
      <c r="I45" s="25"/>
      <c r="J45" s="25"/>
      <c r="K45" s="58"/>
      <c r="L45" s="58"/>
      <c r="M45" s="58"/>
      <c r="N45" s="58"/>
      <c r="O45" s="58"/>
      <c r="P45" s="58"/>
      <c r="Q45" s="58"/>
      <c r="R45" s="58"/>
      <c r="S45" s="58"/>
      <c r="T45" s="58"/>
      <c r="U45" s="58"/>
      <c r="V45" s="58"/>
      <c r="W45" s="58"/>
      <c r="X45" s="58"/>
      <c r="Y45" s="58"/>
      <c r="Z45" s="58"/>
      <c r="AA45" s="58"/>
      <c r="AB45" s="58"/>
      <c r="AC45" s="58"/>
      <c r="AD45" s="58"/>
      <c r="AE45" s="58"/>
      <c r="AF45" s="58"/>
      <c r="AG45" s="58"/>
      <c r="AH45" s="58"/>
    </row>
    <row r="46" spans="1:34" ht="33" customHeight="1" x14ac:dyDescent="0.3">
      <c r="A46" s="25"/>
      <c r="B46" s="646">
        <v>20</v>
      </c>
      <c r="C46" s="168" t="s">
        <v>50</v>
      </c>
      <c r="D46" s="398"/>
      <c r="E46" s="399"/>
      <c r="F46" s="25"/>
      <c r="G46" s="25"/>
      <c r="H46" s="25"/>
      <c r="I46" s="25"/>
      <c r="J46" s="25"/>
      <c r="K46" s="58"/>
      <c r="L46" s="58"/>
      <c r="M46" s="58"/>
      <c r="N46" s="58"/>
      <c r="O46" s="58"/>
      <c r="P46" s="58"/>
      <c r="Q46" s="58"/>
      <c r="R46" s="58"/>
      <c r="S46" s="58"/>
      <c r="T46" s="58"/>
      <c r="U46" s="58"/>
      <c r="V46" s="58"/>
      <c r="W46" s="58"/>
      <c r="X46" s="58"/>
      <c r="Y46" s="58"/>
      <c r="Z46" s="58"/>
      <c r="AA46" s="58"/>
      <c r="AB46" s="58"/>
      <c r="AC46" s="58"/>
      <c r="AD46" s="58"/>
      <c r="AE46" s="58"/>
      <c r="AF46" s="58"/>
      <c r="AG46" s="58"/>
      <c r="AH46" s="58"/>
    </row>
    <row r="47" spans="1:34" ht="303.75" customHeight="1" thickBot="1" x14ac:dyDescent="0.35">
      <c r="A47" s="25"/>
      <c r="B47" s="647"/>
      <c r="C47" s="186" t="str">
        <f>IF('5. Area Habitats'!D30=0,"",'5. Area Habitats'!D30)</f>
        <v/>
      </c>
      <c r="D47" s="191"/>
      <c r="E47" s="192"/>
      <c r="F47" s="25"/>
      <c r="G47" s="25"/>
      <c r="H47" s="25"/>
      <c r="I47" s="25"/>
      <c r="J47" s="25"/>
      <c r="K47" s="58"/>
      <c r="L47" s="58"/>
      <c r="M47" s="58"/>
      <c r="N47" s="58"/>
      <c r="O47" s="58"/>
      <c r="P47" s="58"/>
      <c r="Q47" s="58"/>
      <c r="R47" s="58"/>
      <c r="S47" s="58"/>
      <c r="T47" s="58"/>
      <c r="U47" s="58"/>
      <c r="V47" s="58"/>
      <c r="W47" s="58"/>
      <c r="X47" s="58"/>
      <c r="Y47" s="58"/>
      <c r="Z47" s="58"/>
      <c r="AA47" s="58"/>
      <c r="AB47" s="58"/>
      <c r="AC47" s="58"/>
      <c r="AD47" s="58"/>
      <c r="AE47" s="58"/>
      <c r="AF47" s="58"/>
      <c r="AG47" s="58"/>
      <c r="AH47" s="58"/>
    </row>
    <row r="48" spans="1:34" x14ac:dyDescent="0.3">
      <c r="A48" s="25"/>
      <c r="B48" s="25"/>
      <c r="C48" s="25"/>
      <c r="D48" s="25"/>
      <c r="E48" s="25"/>
      <c r="F48" s="25"/>
      <c r="G48" s="25"/>
      <c r="H48" s="25"/>
      <c r="I48" s="25"/>
      <c r="J48" s="25"/>
      <c r="K48" s="58"/>
      <c r="L48" s="58"/>
      <c r="M48" s="58"/>
      <c r="N48" s="58"/>
      <c r="O48" s="58"/>
      <c r="P48" s="58"/>
      <c r="Q48" s="58"/>
      <c r="R48" s="58"/>
      <c r="S48" s="58"/>
      <c r="T48" s="58"/>
      <c r="U48" s="58"/>
      <c r="V48" s="58"/>
      <c r="W48" s="58"/>
      <c r="X48" s="58"/>
      <c r="Y48" s="58"/>
      <c r="Z48" s="58"/>
      <c r="AA48" s="58"/>
      <c r="AB48" s="58"/>
      <c r="AC48" s="58"/>
      <c r="AD48" s="58"/>
      <c r="AE48" s="58"/>
      <c r="AF48" s="58"/>
      <c r="AG48" s="58"/>
      <c r="AH48" s="58"/>
    </row>
    <row r="49" spans="1:34" x14ac:dyDescent="0.3">
      <c r="A49" s="25"/>
      <c r="B49" s="25"/>
      <c r="C49" s="25"/>
      <c r="D49" s="25"/>
      <c r="E49" s="25"/>
      <c r="F49" s="25"/>
      <c r="G49" s="25"/>
      <c r="H49" s="25"/>
      <c r="I49" s="25"/>
      <c r="J49" s="25"/>
      <c r="K49" s="58"/>
      <c r="L49" s="58"/>
      <c r="M49" s="58"/>
      <c r="N49" s="58"/>
      <c r="O49" s="58"/>
      <c r="P49" s="58"/>
      <c r="Q49" s="58"/>
      <c r="R49" s="58"/>
      <c r="S49" s="58"/>
      <c r="T49" s="58"/>
      <c r="U49" s="58"/>
      <c r="V49" s="58"/>
      <c r="W49" s="58"/>
      <c r="X49" s="58"/>
      <c r="Y49" s="58"/>
      <c r="Z49" s="58"/>
      <c r="AA49" s="58"/>
      <c r="AB49" s="58"/>
      <c r="AC49" s="58"/>
      <c r="AD49" s="58"/>
      <c r="AE49" s="58"/>
      <c r="AF49" s="58"/>
      <c r="AG49" s="58"/>
      <c r="AH49" s="58"/>
    </row>
    <row r="50" spans="1:34" x14ac:dyDescent="0.3">
      <c r="A50" s="25"/>
      <c r="B50" s="25"/>
      <c r="C50" s="25"/>
      <c r="D50" s="25"/>
      <c r="E50" s="25"/>
      <c r="F50" s="25"/>
      <c r="G50" s="25"/>
      <c r="H50" s="25"/>
      <c r="I50" s="25"/>
      <c r="J50" s="25"/>
      <c r="K50" s="58"/>
      <c r="L50" s="58"/>
      <c r="M50" s="58"/>
      <c r="N50" s="58"/>
      <c r="O50" s="58"/>
      <c r="P50" s="58"/>
      <c r="Q50" s="58"/>
      <c r="R50" s="58"/>
      <c r="S50" s="58"/>
      <c r="T50" s="58"/>
      <c r="U50" s="58"/>
      <c r="V50" s="58"/>
      <c r="W50" s="58"/>
      <c r="X50" s="58"/>
      <c r="Y50" s="58"/>
      <c r="Z50" s="58"/>
      <c r="AA50" s="58"/>
      <c r="AB50" s="58"/>
      <c r="AC50" s="58"/>
      <c r="AD50" s="58"/>
      <c r="AE50" s="58"/>
      <c r="AF50" s="58"/>
      <c r="AG50" s="58"/>
      <c r="AH50" s="58"/>
    </row>
    <row r="51" spans="1:34" x14ac:dyDescent="0.3">
      <c r="A51" s="25"/>
      <c r="B51" s="25"/>
      <c r="C51" s="25"/>
      <c r="D51" s="25"/>
      <c r="E51" s="25"/>
      <c r="F51" s="25"/>
      <c r="G51" s="25"/>
      <c r="H51" s="25"/>
      <c r="I51" s="25"/>
      <c r="J51" s="25"/>
      <c r="K51" s="58"/>
      <c r="L51" s="58"/>
      <c r="M51" s="58"/>
      <c r="N51" s="58"/>
      <c r="O51" s="58"/>
      <c r="P51" s="58"/>
      <c r="Q51" s="58"/>
      <c r="R51" s="58"/>
      <c r="S51" s="58"/>
      <c r="T51" s="58"/>
      <c r="U51" s="58"/>
      <c r="V51" s="58"/>
      <c r="W51" s="58"/>
      <c r="X51" s="58"/>
      <c r="Y51" s="58"/>
      <c r="Z51" s="58"/>
      <c r="AA51" s="58"/>
      <c r="AB51" s="58"/>
      <c r="AC51" s="58"/>
      <c r="AD51" s="58"/>
      <c r="AE51" s="58"/>
      <c r="AF51" s="58"/>
      <c r="AG51" s="58"/>
      <c r="AH51" s="58"/>
    </row>
    <row r="52" spans="1:34" hidden="1" x14ac:dyDescent="0.3">
      <c r="A52" s="25"/>
      <c r="B52" s="25"/>
      <c r="C52" s="25"/>
      <c r="D52" s="25"/>
      <c r="E52" s="25"/>
      <c r="F52" s="25"/>
      <c r="G52" s="25"/>
      <c r="H52" s="25"/>
      <c r="I52" s="25"/>
      <c r="J52" s="25"/>
      <c r="K52" s="58"/>
      <c r="L52" s="58"/>
      <c r="M52" s="58"/>
      <c r="N52" s="58"/>
      <c r="O52" s="58"/>
      <c r="P52" s="58"/>
      <c r="Q52" s="58"/>
      <c r="R52" s="58"/>
      <c r="S52" s="58"/>
      <c r="T52" s="58"/>
      <c r="U52" s="58"/>
      <c r="V52" s="58"/>
      <c r="W52" s="58"/>
      <c r="X52" s="58"/>
      <c r="Y52" s="58"/>
      <c r="Z52" s="58"/>
      <c r="AA52" s="58"/>
      <c r="AB52" s="58"/>
      <c r="AC52" s="58"/>
      <c r="AD52" s="58"/>
      <c r="AE52" s="58"/>
      <c r="AF52" s="58"/>
      <c r="AG52" s="58"/>
      <c r="AH52" s="58"/>
    </row>
    <row r="53" spans="1:34" hidden="1" x14ac:dyDescent="0.3">
      <c r="A53" s="25"/>
      <c r="B53" s="25"/>
      <c r="C53" s="25"/>
      <c r="D53" s="25"/>
      <c r="E53" s="25"/>
      <c r="F53" s="25"/>
      <c r="G53" s="25"/>
      <c r="H53" s="25"/>
      <c r="I53" s="25"/>
      <c r="J53" s="25"/>
      <c r="K53" s="58"/>
      <c r="L53" s="58"/>
      <c r="M53" s="58"/>
      <c r="N53" s="58"/>
      <c r="O53" s="58"/>
      <c r="P53" s="58"/>
      <c r="Q53" s="58"/>
      <c r="R53" s="58"/>
      <c r="S53" s="58"/>
      <c r="T53" s="58"/>
      <c r="U53" s="58"/>
      <c r="V53" s="58"/>
      <c r="W53" s="58"/>
      <c r="X53" s="58"/>
      <c r="Y53" s="58"/>
      <c r="Z53" s="58"/>
      <c r="AA53" s="58"/>
      <c r="AB53" s="58"/>
      <c r="AC53" s="58"/>
      <c r="AD53" s="58"/>
      <c r="AE53" s="58"/>
      <c r="AF53" s="58"/>
      <c r="AG53" s="58"/>
      <c r="AH53" s="58"/>
    </row>
    <row r="54" spans="1:34" hidden="1" x14ac:dyDescent="0.3">
      <c r="A54" s="25"/>
      <c r="B54" s="25"/>
      <c r="C54" s="25"/>
      <c r="D54" s="25"/>
      <c r="E54" s="25"/>
      <c r="F54" s="25"/>
      <c r="G54" s="25"/>
      <c r="H54" s="25"/>
      <c r="I54" s="25"/>
      <c r="J54" s="25"/>
      <c r="K54" s="58"/>
      <c r="L54" s="58"/>
      <c r="M54" s="58"/>
      <c r="N54" s="58"/>
      <c r="O54" s="58"/>
      <c r="P54" s="58"/>
      <c r="Q54" s="58"/>
      <c r="R54" s="58"/>
      <c r="S54" s="58"/>
      <c r="T54" s="58"/>
      <c r="U54" s="58"/>
      <c r="V54" s="58"/>
      <c r="W54" s="58"/>
      <c r="X54" s="58"/>
      <c r="Y54" s="58"/>
      <c r="Z54" s="58"/>
      <c r="AA54" s="58"/>
      <c r="AB54" s="58"/>
      <c r="AC54" s="58"/>
      <c r="AD54" s="58"/>
      <c r="AE54" s="58"/>
      <c r="AF54" s="58"/>
      <c r="AG54" s="58"/>
      <c r="AH54" s="58"/>
    </row>
    <row r="55" spans="1:34" hidden="1" x14ac:dyDescent="0.3">
      <c r="A55" s="25"/>
      <c r="B55" s="25"/>
      <c r="C55" s="25"/>
      <c r="D55" s="25"/>
      <c r="E55" s="25"/>
      <c r="F55" s="25"/>
      <c r="G55" s="25"/>
      <c r="H55" s="25"/>
      <c r="I55" s="25"/>
      <c r="J55" s="25"/>
      <c r="K55" s="58"/>
      <c r="L55" s="58"/>
      <c r="M55" s="58"/>
      <c r="N55" s="58"/>
      <c r="O55" s="58"/>
      <c r="P55" s="58"/>
      <c r="Q55" s="58"/>
      <c r="R55" s="58"/>
      <c r="S55" s="58"/>
      <c r="T55" s="58"/>
      <c r="U55" s="58"/>
      <c r="V55" s="58"/>
      <c r="W55" s="58"/>
      <c r="X55" s="58"/>
      <c r="Y55" s="58"/>
      <c r="Z55" s="58"/>
      <c r="AA55" s="58"/>
      <c r="AB55" s="58"/>
      <c r="AC55" s="58"/>
      <c r="AD55" s="58"/>
      <c r="AE55" s="58"/>
      <c r="AF55" s="58"/>
      <c r="AG55" s="58"/>
      <c r="AH55" s="58"/>
    </row>
    <row r="56" spans="1:34" hidden="1" x14ac:dyDescent="0.3">
      <c r="A56" s="25"/>
      <c r="B56" s="25"/>
      <c r="C56" s="25"/>
      <c r="D56" s="25"/>
      <c r="E56" s="25"/>
      <c r="F56" s="25"/>
      <c r="G56" s="25"/>
      <c r="H56" s="25"/>
      <c r="I56" s="25"/>
      <c r="J56" s="25"/>
      <c r="K56" s="58"/>
      <c r="L56" s="58"/>
      <c r="M56" s="58"/>
      <c r="N56" s="58"/>
      <c r="O56" s="58"/>
      <c r="P56" s="58"/>
      <c r="Q56" s="58"/>
      <c r="R56" s="58"/>
      <c r="S56" s="58"/>
      <c r="T56" s="58"/>
      <c r="U56" s="58"/>
      <c r="V56" s="58"/>
      <c r="W56" s="58"/>
      <c r="X56" s="58"/>
      <c r="Y56" s="58"/>
      <c r="Z56" s="58"/>
      <c r="AA56" s="58"/>
      <c r="AB56" s="58"/>
      <c r="AC56" s="58"/>
      <c r="AD56" s="58"/>
      <c r="AE56" s="58"/>
      <c r="AF56" s="58"/>
      <c r="AG56" s="58"/>
      <c r="AH56" s="58"/>
    </row>
    <row r="57" spans="1:34" hidden="1" x14ac:dyDescent="0.3">
      <c r="A57" s="25"/>
      <c r="B57" s="25"/>
      <c r="C57" s="25"/>
      <c r="D57" s="25"/>
      <c r="E57" s="25"/>
      <c r="F57" s="25"/>
      <c r="G57" s="25"/>
      <c r="H57" s="25"/>
      <c r="I57" s="25"/>
      <c r="J57" s="25"/>
      <c r="K57" s="58"/>
      <c r="L57" s="58"/>
      <c r="M57" s="58"/>
      <c r="N57" s="58"/>
      <c r="O57" s="58"/>
      <c r="P57" s="58"/>
      <c r="Q57" s="58"/>
      <c r="R57" s="58"/>
      <c r="S57" s="58"/>
      <c r="T57" s="58"/>
      <c r="U57" s="58"/>
      <c r="V57" s="58"/>
      <c r="W57" s="58"/>
      <c r="X57" s="58"/>
      <c r="Y57" s="58"/>
      <c r="Z57" s="58"/>
      <c r="AA57" s="58"/>
      <c r="AB57" s="58"/>
      <c r="AC57" s="58"/>
      <c r="AD57" s="58"/>
      <c r="AE57" s="58"/>
      <c r="AF57" s="58"/>
      <c r="AG57" s="58"/>
      <c r="AH57" s="58"/>
    </row>
    <row r="58" spans="1:34" hidden="1" x14ac:dyDescent="0.3">
      <c r="A58" s="25"/>
      <c r="B58" s="25"/>
      <c r="C58" s="25"/>
      <c r="D58" s="25"/>
      <c r="E58" s="25"/>
      <c r="F58" s="25"/>
      <c r="G58" s="25"/>
      <c r="H58" s="25"/>
      <c r="I58" s="25"/>
      <c r="J58" s="25"/>
      <c r="K58" s="58"/>
      <c r="L58" s="58"/>
      <c r="M58" s="58"/>
      <c r="N58" s="58"/>
      <c r="O58" s="58"/>
      <c r="P58" s="58"/>
      <c r="Q58" s="58"/>
      <c r="R58" s="58"/>
      <c r="S58" s="58"/>
      <c r="T58" s="58"/>
      <c r="U58" s="58"/>
      <c r="V58" s="58"/>
      <c r="W58" s="58"/>
      <c r="X58" s="58"/>
      <c r="Y58" s="58"/>
      <c r="Z58" s="58"/>
      <c r="AA58" s="58"/>
      <c r="AB58" s="58"/>
      <c r="AC58" s="58"/>
      <c r="AD58" s="58"/>
      <c r="AE58" s="58"/>
      <c r="AF58" s="58"/>
      <c r="AG58" s="58"/>
      <c r="AH58" s="58"/>
    </row>
    <row r="59" spans="1:34" hidden="1" x14ac:dyDescent="0.3">
      <c r="A59" s="25"/>
      <c r="B59" s="25"/>
      <c r="C59" s="25"/>
      <c r="D59" s="25"/>
      <c r="E59" s="25"/>
      <c r="F59" s="25"/>
      <c r="G59" s="25"/>
      <c r="H59" s="25"/>
      <c r="I59" s="25"/>
      <c r="J59" s="25"/>
      <c r="K59" s="58"/>
      <c r="L59" s="58"/>
      <c r="M59" s="58"/>
      <c r="N59" s="58"/>
      <c r="O59" s="58"/>
      <c r="P59" s="58"/>
      <c r="Q59" s="58"/>
      <c r="R59" s="58"/>
      <c r="S59" s="58"/>
      <c r="T59" s="58"/>
      <c r="U59" s="58"/>
      <c r="V59" s="58"/>
      <c r="W59" s="58"/>
      <c r="X59" s="58"/>
      <c r="Y59" s="58"/>
      <c r="Z59" s="58"/>
      <c r="AA59" s="58"/>
      <c r="AB59" s="58"/>
      <c r="AC59" s="58"/>
      <c r="AD59" s="58"/>
      <c r="AE59" s="58"/>
      <c r="AF59" s="58"/>
      <c r="AG59" s="58"/>
      <c r="AH59" s="58"/>
    </row>
    <row r="60" spans="1:34" hidden="1" x14ac:dyDescent="0.3">
      <c r="A60" s="25"/>
      <c r="B60" s="25"/>
      <c r="C60" s="25"/>
      <c r="D60" s="25"/>
      <c r="E60" s="25"/>
      <c r="F60" s="25"/>
      <c r="G60" s="25"/>
      <c r="H60" s="25"/>
      <c r="I60" s="25"/>
      <c r="J60" s="25"/>
      <c r="K60" s="58"/>
      <c r="L60" s="58"/>
      <c r="M60" s="58"/>
      <c r="N60" s="58"/>
      <c r="O60" s="58"/>
      <c r="P60" s="58"/>
      <c r="Q60" s="58"/>
      <c r="R60" s="58"/>
      <c r="S60" s="58"/>
      <c r="T60" s="58"/>
      <c r="U60" s="58"/>
      <c r="V60" s="58"/>
      <c r="W60" s="58"/>
      <c r="X60" s="58"/>
      <c r="Y60" s="58"/>
      <c r="Z60" s="58"/>
      <c r="AA60" s="58"/>
      <c r="AB60" s="58"/>
      <c r="AC60" s="58"/>
      <c r="AD60" s="58"/>
      <c r="AE60" s="58"/>
      <c r="AF60" s="58"/>
      <c r="AG60" s="58"/>
      <c r="AH60" s="58"/>
    </row>
    <row r="61" spans="1:34" hidden="1" x14ac:dyDescent="0.3">
      <c r="A61" s="25"/>
      <c r="B61" s="25"/>
      <c r="C61" s="25"/>
      <c r="D61" s="25"/>
      <c r="E61" s="25"/>
      <c r="F61" s="25"/>
      <c r="G61" s="25"/>
      <c r="H61" s="25"/>
      <c r="I61" s="25"/>
      <c r="J61" s="25"/>
      <c r="K61" s="58"/>
      <c r="L61" s="58"/>
      <c r="M61" s="58"/>
      <c r="N61" s="58"/>
      <c r="O61" s="58"/>
      <c r="P61" s="58"/>
      <c r="Q61" s="58"/>
      <c r="R61" s="58"/>
      <c r="S61" s="58"/>
      <c r="T61" s="58"/>
      <c r="U61" s="58"/>
      <c r="V61" s="58"/>
      <c r="W61" s="58"/>
      <c r="X61" s="58"/>
      <c r="Y61" s="58"/>
      <c r="Z61" s="58"/>
      <c r="AA61" s="58"/>
      <c r="AB61" s="58"/>
      <c r="AC61" s="58"/>
      <c r="AD61" s="58"/>
      <c r="AE61" s="58"/>
      <c r="AF61" s="58"/>
      <c r="AG61" s="58"/>
      <c r="AH61" s="58"/>
    </row>
    <row r="62" spans="1:34" hidden="1" x14ac:dyDescent="0.3">
      <c r="A62" s="25"/>
      <c r="B62" s="25"/>
      <c r="C62" s="25"/>
      <c r="D62" s="25"/>
      <c r="E62" s="25"/>
      <c r="F62" s="25"/>
      <c r="G62" s="25"/>
      <c r="H62" s="25"/>
      <c r="I62" s="25"/>
      <c r="J62" s="25"/>
      <c r="K62" s="58"/>
      <c r="L62" s="58"/>
      <c r="M62" s="58"/>
      <c r="N62" s="58"/>
      <c r="O62" s="58"/>
      <c r="P62" s="58"/>
      <c r="Q62" s="58"/>
      <c r="R62" s="58"/>
      <c r="S62" s="58"/>
      <c r="T62" s="58"/>
      <c r="U62" s="58"/>
      <c r="V62" s="58"/>
      <c r="W62" s="58"/>
      <c r="X62" s="58"/>
      <c r="Y62" s="58"/>
      <c r="Z62" s="58"/>
      <c r="AA62" s="58"/>
      <c r="AB62" s="58"/>
      <c r="AC62" s="58"/>
      <c r="AD62" s="58"/>
      <c r="AE62" s="58"/>
      <c r="AF62" s="58"/>
      <c r="AG62" s="58"/>
      <c r="AH62" s="58"/>
    </row>
    <row r="63" spans="1:34" hidden="1" x14ac:dyDescent="0.3">
      <c r="A63" s="25"/>
      <c r="B63" s="25"/>
      <c r="C63" s="25"/>
      <c r="D63" s="25"/>
      <c r="E63" s="25"/>
      <c r="F63" s="25"/>
      <c r="G63" s="25"/>
      <c r="H63" s="25"/>
      <c r="I63" s="25"/>
      <c r="J63" s="25"/>
      <c r="K63" s="58"/>
      <c r="L63" s="58"/>
      <c r="M63" s="58"/>
      <c r="N63" s="58"/>
      <c r="O63" s="58"/>
      <c r="P63" s="58"/>
      <c r="Q63" s="58"/>
      <c r="R63" s="58"/>
      <c r="S63" s="58"/>
      <c r="T63" s="58"/>
      <c r="U63" s="58"/>
      <c r="V63" s="58"/>
      <c r="W63" s="58"/>
      <c r="X63" s="58"/>
      <c r="Y63" s="58"/>
      <c r="Z63" s="58"/>
      <c r="AA63" s="58"/>
      <c r="AB63" s="58"/>
      <c r="AC63" s="58"/>
      <c r="AD63" s="58"/>
      <c r="AE63" s="58"/>
      <c r="AF63" s="58"/>
      <c r="AG63" s="58"/>
      <c r="AH63" s="58"/>
    </row>
    <row r="64" spans="1:34" hidden="1" x14ac:dyDescent="0.3">
      <c r="A64" s="25"/>
      <c r="B64" s="25"/>
      <c r="C64" s="25"/>
      <c r="D64" s="25"/>
      <c r="E64" s="25"/>
      <c r="F64" s="25"/>
      <c r="G64" s="25"/>
      <c r="H64" s="25"/>
      <c r="I64" s="25"/>
      <c r="J64" s="25"/>
      <c r="K64" s="58"/>
      <c r="L64" s="58"/>
      <c r="M64" s="58"/>
      <c r="N64" s="58"/>
      <c r="O64" s="58"/>
      <c r="P64" s="58"/>
      <c r="Q64" s="58"/>
      <c r="R64" s="58"/>
      <c r="S64" s="58"/>
      <c r="T64" s="58"/>
      <c r="U64" s="58"/>
      <c r="V64" s="58"/>
      <c r="W64" s="58"/>
      <c r="X64" s="58"/>
      <c r="Y64" s="58"/>
      <c r="Z64" s="58"/>
      <c r="AA64" s="58"/>
      <c r="AB64" s="58"/>
      <c r="AC64" s="58"/>
      <c r="AD64" s="58"/>
      <c r="AE64" s="58"/>
      <c r="AF64" s="58"/>
      <c r="AG64" s="58"/>
      <c r="AH64" s="58"/>
    </row>
    <row r="65" spans="1:34" hidden="1" x14ac:dyDescent="0.3">
      <c r="A65" s="25"/>
      <c r="B65" s="25"/>
      <c r="C65" s="25"/>
      <c r="D65" s="25"/>
      <c r="E65" s="25"/>
      <c r="F65" s="25"/>
      <c r="G65" s="25"/>
      <c r="H65" s="25"/>
      <c r="I65" s="25"/>
      <c r="J65" s="25"/>
      <c r="K65" s="58"/>
      <c r="L65" s="58"/>
      <c r="M65" s="58"/>
      <c r="N65" s="58"/>
      <c r="O65" s="58"/>
      <c r="P65" s="58"/>
      <c r="Q65" s="58"/>
      <c r="R65" s="58"/>
      <c r="S65" s="58"/>
      <c r="T65" s="58"/>
      <c r="U65" s="58"/>
      <c r="V65" s="58"/>
      <c r="W65" s="58"/>
      <c r="X65" s="58"/>
      <c r="Y65" s="58"/>
      <c r="Z65" s="58"/>
      <c r="AA65" s="58"/>
      <c r="AB65" s="58"/>
      <c r="AC65" s="58"/>
      <c r="AD65" s="58"/>
      <c r="AE65" s="58"/>
      <c r="AF65" s="58"/>
      <c r="AG65" s="58"/>
      <c r="AH65" s="58"/>
    </row>
    <row r="66" spans="1:34" hidden="1" x14ac:dyDescent="0.3">
      <c r="A66" s="25"/>
      <c r="B66" s="25"/>
      <c r="C66" s="25"/>
      <c r="D66" s="25"/>
      <c r="E66" s="25"/>
      <c r="F66" s="25"/>
      <c r="G66" s="25"/>
      <c r="H66" s="25"/>
      <c r="I66" s="25"/>
      <c r="J66" s="25"/>
      <c r="K66" s="58"/>
      <c r="L66" s="58"/>
      <c r="M66" s="58"/>
      <c r="N66" s="58"/>
      <c r="O66" s="58"/>
      <c r="P66" s="58"/>
      <c r="Q66" s="58"/>
      <c r="R66" s="58"/>
      <c r="S66" s="58"/>
      <c r="T66" s="58"/>
      <c r="U66" s="58"/>
      <c r="V66" s="58"/>
      <c r="W66" s="58"/>
      <c r="X66" s="58"/>
      <c r="Y66" s="58"/>
      <c r="Z66" s="58"/>
      <c r="AA66" s="58"/>
      <c r="AB66" s="58"/>
      <c r="AC66" s="58"/>
      <c r="AD66" s="58"/>
      <c r="AE66" s="58"/>
      <c r="AF66" s="58"/>
      <c r="AG66" s="58"/>
      <c r="AH66" s="58"/>
    </row>
    <row r="67" spans="1:34" hidden="1" x14ac:dyDescent="0.3">
      <c r="A67" s="25"/>
      <c r="B67" s="25"/>
      <c r="C67" s="25"/>
      <c r="D67" s="25"/>
      <c r="E67" s="25"/>
      <c r="F67" s="25"/>
      <c r="G67" s="25"/>
      <c r="H67" s="25"/>
      <c r="I67" s="25"/>
      <c r="J67" s="25"/>
      <c r="K67" s="58"/>
      <c r="L67" s="58"/>
      <c r="M67" s="58"/>
      <c r="N67" s="58"/>
      <c r="O67" s="58"/>
      <c r="P67" s="58"/>
      <c r="Q67" s="58"/>
      <c r="R67" s="58"/>
      <c r="S67" s="58"/>
      <c r="T67" s="58"/>
      <c r="U67" s="58"/>
      <c r="V67" s="58"/>
      <c r="W67" s="58"/>
      <c r="X67" s="58"/>
      <c r="Y67" s="58"/>
      <c r="Z67" s="58"/>
      <c r="AA67" s="58"/>
      <c r="AB67" s="58"/>
      <c r="AC67" s="58"/>
      <c r="AD67" s="58"/>
      <c r="AE67" s="58"/>
      <c r="AF67" s="58"/>
      <c r="AG67" s="58"/>
      <c r="AH67" s="58"/>
    </row>
    <row r="68" spans="1:34" hidden="1" x14ac:dyDescent="0.3">
      <c r="A68" s="25"/>
      <c r="B68" s="25"/>
      <c r="C68" s="25"/>
      <c r="D68" s="25"/>
      <c r="E68" s="25"/>
      <c r="F68" s="25"/>
      <c r="G68" s="25"/>
      <c r="H68" s="25"/>
      <c r="I68" s="25"/>
      <c r="J68" s="25"/>
      <c r="K68" s="58"/>
      <c r="L68" s="58"/>
      <c r="M68" s="58"/>
      <c r="N68" s="58"/>
      <c r="O68" s="58"/>
      <c r="P68" s="58"/>
      <c r="Q68" s="58"/>
      <c r="R68" s="58"/>
      <c r="S68" s="58"/>
      <c r="T68" s="58"/>
      <c r="U68" s="58"/>
      <c r="V68" s="58"/>
      <c r="W68" s="58"/>
      <c r="X68" s="58"/>
      <c r="Y68" s="58"/>
      <c r="Z68" s="58"/>
      <c r="AA68" s="58"/>
      <c r="AB68" s="58"/>
      <c r="AC68" s="58"/>
      <c r="AD68" s="58"/>
      <c r="AE68" s="58"/>
      <c r="AF68" s="58"/>
      <c r="AG68" s="58"/>
      <c r="AH68" s="58"/>
    </row>
    <row r="69" spans="1:34" hidden="1" x14ac:dyDescent="0.3">
      <c r="A69" s="25"/>
      <c r="B69" s="25"/>
      <c r="C69" s="25"/>
      <c r="D69" s="25"/>
      <c r="E69" s="25"/>
      <c r="F69" s="25"/>
      <c r="G69" s="25"/>
      <c r="H69" s="25"/>
      <c r="I69" s="25"/>
      <c r="J69" s="25"/>
      <c r="K69" s="58"/>
      <c r="L69" s="58"/>
      <c r="M69" s="58"/>
      <c r="N69" s="58"/>
      <c r="O69" s="58"/>
      <c r="P69" s="58"/>
      <c r="Q69" s="58"/>
      <c r="R69" s="58"/>
      <c r="S69" s="58"/>
      <c r="T69" s="58"/>
      <c r="U69" s="58"/>
      <c r="V69" s="58"/>
      <c r="W69" s="58"/>
      <c r="X69" s="58"/>
      <c r="Y69" s="58"/>
      <c r="Z69" s="58"/>
      <c r="AA69" s="58"/>
      <c r="AB69" s="58"/>
      <c r="AC69" s="58"/>
      <c r="AD69" s="58"/>
      <c r="AE69" s="58"/>
      <c r="AF69" s="58"/>
      <c r="AG69" s="58"/>
      <c r="AH69" s="58"/>
    </row>
    <row r="70" spans="1:34" hidden="1" x14ac:dyDescent="0.3">
      <c r="A70" s="25"/>
      <c r="B70" s="25"/>
      <c r="C70" s="25"/>
      <c r="D70" s="25"/>
      <c r="E70" s="25"/>
      <c r="F70" s="25"/>
      <c r="G70" s="25"/>
      <c r="H70" s="25"/>
      <c r="I70" s="25"/>
      <c r="J70" s="25"/>
      <c r="K70" s="58"/>
      <c r="L70" s="58"/>
      <c r="M70" s="58"/>
      <c r="N70" s="58"/>
      <c r="O70" s="58"/>
      <c r="P70" s="58"/>
      <c r="Q70" s="58"/>
      <c r="R70" s="58"/>
      <c r="S70" s="58"/>
      <c r="T70" s="58"/>
      <c r="U70" s="58"/>
      <c r="V70" s="58"/>
      <c r="W70" s="58"/>
      <c r="X70" s="58"/>
      <c r="Y70" s="58"/>
      <c r="Z70" s="58"/>
      <c r="AA70" s="58"/>
      <c r="AB70" s="58"/>
      <c r="AC70" s="58"/>
      <c r="AD70" s="58"/>
      <c r="AE70" s="58"/>
      <c r="AF70" s="58"/>
      <c r="AG70" s="58"/>
      <c r="AH70" s="58"/>
    </row>
    <row r="71" spans="1:34" hidden="1" x14ac:dyDescent="0.3">
      <c r="A71" s="25"/>
      <c r="B71" s="25"/>
      <c r="C71" s="25"/>
      <c r="D71" s="25"/>
      <c r="E71" s="25"/>
      <c r="F71" s="25"/>
      <c r="G71" s="25"/>
      <c r="H71" s="25"/>
      <c r="I71" s="25"/>
      <c r="J71" s="25"/>
      <c r="K71" s="58"/>
      <c r="L71" s="58"/>
      <c r="M71" s="58"/>
      <c r="N71" s="58"/>
      <c r="O71" s="58"/>
      <c r="P71" s="58"/>
      <c r="Q71" s="58"/>
      <c r="R71" s="58"/>
      <c r="S71" s="58"/>
      <c r="T71" s="58"/>
      <c r="U71" s="58"/>
      <c r="V71" s="58"/>
      <c r="W71" s="58"/>
      <c r="X71" s="58"/>
      <c r="Y71" s="58"/>
      <c r="Z71" s="58"/>
      <c r="AA71" s="58"/>
      <c r="AB71" s="58"/>
      <c r="AC71" s="58"/>
      <c r="AD71" s="58"/>
      <c r="AE71" s="58"/>
      <c r="AF71" s="58"/>
      <c r="AG71" s="58"/>
      <c r="AH71" s="58"/>
    </row>
    <row r="72" spans="1:34" hidden="1" x14ac:dyDescent="0.3">
      <c r="A72" s="25"/>
      <c r="B72" s="25"/>
      <c r="C72" s="25"/>
      <c r="D72" s="25"/>
      <c r="E72" s="25"/>
      <c r="F72" s="25"/>
      <c r="G72" s="25"/>
      <c r="H72" s="25"/>
      <c r="I72" s="25"/>
      <c r="J72" s="25"/>
      <c r="K72" s="58"/>
      <c r="L72" s="58"/>
      <c r="M72" s="58"/>
      <c r="N72" s="58"/>
      <c r="O72" s="58"/>
      <c r="P72" s="58"/>
      <c r="Q72" s="58"/>
      <c r="R72" s="58"/>
      <c r="S72" s="58"/>
      <c r="T72" s="58"/>
      <c r="U72" s="58"/>
      <c r="V72" s="58"/>
      <c r="W72" s="58"/>
      <c r="X72" s="58"/>
      <c r="Y72" s="58"/>
      <c r="Z72" s="58"/>
      <c r="AA72" s="58"/>
      <c r="AB72" s="58"/>
      <c r="AC72" s="58"/>
      <c r="AD72" s="58"/>
      <c r="AE72" s="58"/>
      <c r="AF72" s="58"/>
      <c r="AG72" s="58"/>
      <c r="AH72" s="58"/>
    </row>
    <row r="73" spans="1:34" hidden="1" x14ac:dyDescent="0.3">
      <c r="A73" s="25"/>
      <c r="B73" s="25"/>
      <c r="C73" s="25"/>
      <c r="D73" s="25"/>
      <c r="E73" s="25"/>
      <c r="F73" s="25"/>
      <c r="G73" s="25"/>
      <c r="H73" s="25"/>
      <c r="I73" s="25"/>
      <c r="J73" s="25"/>
      <c r="K73" s="58"/>
      <c r="L73" s="58"/>
      <c r="M73" s="58"/>
      <c r="N73" s="58"/>
      <c r="O73" s="58"/>
      <c r="P73" s="58"/>
      <c r="Q73" s="58"/>
      <c r="R73" s="58"/>
      <c r="S73" s="58"/>
      <c r="T73" s="58"/>
      <c r="U73" s="58"/>
      <c r="V73" s="58"/>
      <c r="W73" s="58"/>
      <c r="X73" s="58"/>
      <c r="Y73" s="58"/>
      <c r="Z73" s="58"/>
      <c r="AA73" s="58"/>
      <c r="AB73" s="58"/>
      <c r="AC73" s="58"/>
      <c r="AD73" s="58"/>
      <c r="AE73" s="58"/>
      <c r="AF73" s="58"/>
      <c r="AG73" s="58"/>
      <c r="AH73" s="58"/>
    </row>
    <row r="74" spans="1:34" hidden="1" x14ac:dyDescent="0.3">
      <c r="A74" s="25"/>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row>
    <row r="75" spans="1:34" hidden="1" x14ac:dyDescent="0.3">
      <c r="A75" s="25"/>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row>
    <row r="76" spans="1:34" hidden="1" x14ac:dyDescent="0.3">
      <c r="A76" s="25"/>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row>
    <row r="77" spans="1:34" hidden="1" x14ac:dyDescent="0.3">
      <c r="A77" s="25"/>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row>
    <row r="78" spans="1:34" hidden="1" x14ac:dyDescent="0.3">
      <c r="A78" s="25"/>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row>
    <row r="79" spans="1:34" hidden="1" x14ac:dyDescent="0.3">
      <c r="A79" s="25"/>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row>
    <row r="80" spans="1:34" hidden="1" x14ac:dyDescent="0.3">
      <c r="A80" s="25"/>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row>
    <row r="81" spans="1:34" hidden="1" x14ac:dyDescent="0.3">
      <c r="A81" s="25"/>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row>
    <row r="82" spans="1:34" hidden="1" x14ac:dyDescent="0.3">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row>
    <row r="83" spans="1:34" hidden="1" x14ac:dyDescent="0.3">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row>
    <row r="84" spans="1:34" hidden="1" x14ac:dyDescent="0.3">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row>
    <row r="85" spans="1:34" hidden="1" x14ac:dyDescent="0.3">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row>
    <row r="86" spans="1:34" hidden="1" x14ac:dyDescent="0.3">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row>
    <row r="87" spans="1:34" hidden="1" x14ac:dyDescent="0.3">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row>
    <row r="88" spans="1:34" hidden="1" x14ac:dyDescent="0.3">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row>
    <row r="89" spans="1:34" hidden="1" x14ac:dyDescent="0.3">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row>
    <row r="90" spans="1:34" hidden="1" x14ac:dyDescent="0.3">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row>
    <row r="91" spans="1:34" hidden="1" x14ac:dyDescent="0.3">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row>
    <row r="92" spans="1:34" hidden="1" x14ac:dyDescent="0.3">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row>
    <row r="93" spans="1:34" hidden="1" x14ac:dyDescent="0.3">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row>
    <row r="94" spans="1:34" hidden="1" x14ac:dyDescent="0.3">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row>
    <row r="95" spans="1:34" hidden="1" x14ac:dyDescent="0.3">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row>
    <row r="96" spans="1:34" hidden="1" x14ac:dyDescent="0.3">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row>
    <row r="97" spans="1:34" hidden="1" x14ac:dyDescent="0.3">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row>
    <row r="98" spans="1:34" hidden="1" x14ac:dyDescent="0.3">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row>
    <row r="99" spans="1:34" hidden="1" x14ac:dyDescent="0.3">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row>
    <row r="100" spans="1:34" hidden="1" x14ac:dyDescent="0.3">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row>
    <row r="101" spans="1:34" hidden="1" x14ac:dyDescent="0.3">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row>
    <row r="102" spans="1:34" hidden="1" x14ac:dyDescent="0.3">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row>
    <row r="103" spans="1:34" hidden="1" x14ac:dyDescent="0.3">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row>
    <row r="104" spans="1:34" hidden="1" x14ac:dyDescent="0.3">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row>
    <row r="105" spans="1:34" hidden="1" x14ac:dyDescent="0.3">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row>
    <row r="106" spans="1:34" hidden="1" x14ac:dyDescent="0.3">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row>
    <row r="107" spans="1:34" hidden="1" x14ac:dyDescent="0.3">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row>
    <row r="108" spans="1:34" hidden="1" x14ac:dyDescent="0.3">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row>
    <row r="109" spans="1:34" hidden="1" x14ac:dyDescent="0.3">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row>
    <row r="110" spans="1:34" hidden="1" x14ac:dyDescent="0.3">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row>
    <row r="111" spans="1:34" hidden="1" x14ac:dyDescent="0.3">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row>
    <row r="112" spans="1:34" hidden="1" x14ac:dyDescent="0.3">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row>
    <row r="113" spans="1:34" hidden="1" x14ac:dyDescent="0.3">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row>
    <row r="114" spans="1:34" hidden="1" x14ac:dyDescent="0.3">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row>
    <row r="115" spans="1:34" hidden="1" x14ac:dyDescent="0.3">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row>
    <row r="116" spans="1:34" hidden="1" x14ac:dyDescent="0.3">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row>
    <row r="117" spans="1:34" hidden="1" x14ac:dyDescent="0.3">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row>
    <row r="118" spans="1:34" hidden="1" x14ac:dyDescent="0.3">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row>
    <row r="119" spans="1:34" hidden="1" x14ac:dyDescent="0.3">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row>
    <row r="120" spans="1:34" hidden="1" x14ac:dyDescent="0.3">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row>
    <row r="121" spans="1:34" hidden="1" x14ac:dyDescent="0.3">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row>
    <row r="122" spans="1:34" hidden="1" x14ac:dyDescent="0.3">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row>
    <row r="123" spans="1:34" hidden="1" x14ac:dyDescent="0.3">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row>
    <row r="124" spans="1:34" hidden="1" x14ac:dyDescent="0.3">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row>
    <row r="125" spans="1:34" hidden="1" x14ac:dyDescent="0.3">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row>
    <row r="126" spans="1:34" hidden="1" x14ac:dyDescent="0.3">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row>
    <row r="127" spans="1:34" hidden="1" x14ac:dyDescent="0.3">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row>
    <row r="128" spans="1:34" hidden="1" x14ac:dyDescent="0.3">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row>
    <row r="129" spans="1:34" hidden="1" x14ac:dyDescent="0.3">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row>
    <row r="130" spans="1:34" hidden="1" x14ac:dyDescent="0.3">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row>
    <row r="131" spans="1:34" hidden="1" x14ac:dyDescent="0.3">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row>
    <row r="132" spans="1:34" hidden="1" x14ac:dyDescent="0.3">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row>
    <row r="133" spans="1:34" hidden="1" x14ac:dyDescent="0.3">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row>
    <row r="134" spans="1:34" hidden="1" x14ac:dyDescent="0.3">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row>
    <row r="135" spans="1:34" hidden="1" x14ac:dyDescent="0.3">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row>
    <row r="136" spans="1:34" hidden="1" x14ac:dyDescent="0.3">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row>
    <row r="137" spans="1:34" hidden="1" x14ac:dyDescent="0.3">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row>
    <row r="138" spans="1:34" hidden="1" x14ac:dyDescent="0.3">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row>
    <row r="139" spans="1:34" hidden="1" x14ac:dyDescent="0.3">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row>
    <row r="140" spans="1:34" hidden="1" x14ac:dyDescent="0.3">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row>
    <row r="141" spans="1:34" hidden="1" x14ac:dyDescent="0.3">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row>
    <row r="142" spans="1:34" hidden="1" x14ac:dyDescent="0.3">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row>
    <row r="143" spans="1:34" hidden="1" x14ac:dyDescent="0.3">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row>
    <row r="144" spans="1:34" hidden="1" x14ac:dyDescent="0.3">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row>
    <row r="145" spans="1:34" hidden="1" x14ac:dyDescent="0.3">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row>
    <row r="146" spans="1:34" hidden="1" x14ac:dyDescent="0.3">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row>
    <row r="147" spans="1:34" hidden="1" x14ac:dyDescent="0.3">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row>
    <row r="148" spans="1:34" hidden="1" x14ac:dyDescent="0.3">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row>
    <row r="149" spans="1:34" hidden="1" x14ac:dyDescent="0.3">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row>
    <row r="150" spans="1:34" hidden="1" x14ac:dyDescent="0.3">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row>
    <row r="151" spans="1:34" hidden="1" x14ac:dyDescent="0.3">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row>
    <row r="152" spans="1:34" hidden="1" x14ac:dyDescent="0.3">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row>
    <row r="153" spans="1:34" hidden="1" x14ac:dyDescent="0.3">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row>
    <row r="154" spans="1:34" hidden="1" x14ac:dyDescent="0.3">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row>
    <row r="155" spans="1:34" hidden="1" x14ac:dyDescent="0.3">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row>
    <row r="156" spans="1:34" hidden="1" x14ac:dyDescent="0.3">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row>
    <row r="157" spans="1:34" hidden="1" x14ac:dyDescent="0.3">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row>
    <row r="158" spans="1:34" hidden="1" x14ac:dyDescent="0.3">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row>
  </sheetData>
  <sheetProtection algorithmName="SHA-512" hashValue="3tukFxCG1LY07uWIwhWdfk70NtBlkauiWU7yyF0kzZGshmLCOAtIgMDFiEXMug39DxX56GuzTuJ/Vc/jyBZC8g==" saltValue="z0bbt7f7H3L+Ih/Bi7Ib3A==" spinCount="100000" sheet="1" scenarios="1"/>
  <mergeCells count="24">
    <mergeCell ref="B44:B45"/>
    <mergeCell ref="B46:B47"/>
    <mergeCell ref="B8:B9"/>
    <mergeCell ref="B30:B31"/>
    <mergeCell ref="B32:B33"/>
    <mergeCell ref="B34:B35"/>
    <mergeCell ref="B36:B37"/>
    <mergeCell ref="B38:B39"/>
    <mergeCell ref="B20:B21"/>
    <mergeCell ref="B22:B23"/>
    <mergeCell ref="B24:B25"/>
    <mergeCell ref="B26:B27"/>
    <mergeCell ref="B28:B29"/>
    <mergeCell ref="B10:B11"/>
    <mergeCell ref="B16:B17"/>
    <mergeCell ref="B18:B19"/>
    <mergeCell ref="B3:C3"/>
    <mergeCell ref="B40:B41"/>
    <mergeCell ref="B42:B43"/>
    <mergeCell ref="B2:C2"/>
    <mergeCell ref="D5:E5"/>
    <mergeCell ref="E2:E3"/>
    <mergeCell ref="B12:B13"/>
    <mergeCell ref="B14:B15"/>
  </mergeCells>
  <conditionalFormatting sqref="E2:E3">
    <cfRule type="containsText" dxfId="378" priority="1" operator="containsText" text="Error">
      <formula>NOT(ISERROR(SEARCH("Error",E2)))</formula>
    </cfRule>
  </conditionalFormatting>
  <pageMargins left="0.7" right="0.7" top="0.75" bottom="0.75" header="0.3" footer="0.3"/>
  <pageSetup paperSize="9" scale="1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F9F63-0519-4470-A745-59052BAC7261}">
  <sheetPr codeName="Sheet1">
    <tabColor rgb="FF006600"/>
    <pageSetUpPr fitToPage="1"/>
  </sheetPr>
  <dimension ref="A1:XEY169"/>
  <sheetViews>
    <sheetView zoomScale="80" zoomScaleNormal="80" workbookViewId="0">
      <selection activeCell="J14" sqref="J14"/>
    </sheetView>
  </sheetViews>
  <sheetFormatPr defaultColWidth="8.77734375" defaultRowHeight="14.4" zeroHeight="1" x14ac:dyDescent="0.3"/>
  <cols>
    <col min="1" max="1" width="4.5546875" customWidth="1"/>
    <col min="2" max="2" width="14.77734375" customWidth="1"/>
    <col min="3" max="3" width="26.44140625" bestFit="1" customWidth="1"/>
    <col min="4" max="4" width="62.77734375" customWidth="1"/>
    <col min="5" max="5" width="22" customWidth="1"/>
    <col min="6" max="6" width="18.5546875" customWidth="1"/>
    <col min="7" max="7" width="39.77734375" customWidth="1"/>
    <col min="8" max="8" width="62.44140625" customWidth="1"/>
    <col min="9" max="9" width="14.5546875" customWidth="1"/>
    <col min="10" max="10" width="12.77734375" customWidth="1"/>
    <col min="11" max="11" width="11.44140625" customWidth="1"/>
    <col min="12" max="12" width="17.77734375" customWidth="1"/>
    <col min="13" max="14" width="11.44140625" customWidth="1"/>
    <col min="15" max="16" width="27" customWidth="1"/>
    <col min="17" max="18" width="11.44140625" customWidth="1"/>
    <col min="19" max="19" width="2.21875" customWidth="1"/>
    <col min="20" max="20" width="13" customWidth="1"/>
    <col min="21" max="21" width="14.77734375" customWidth="1"/>
    <col min="22" max="22" width="20.77734375" bestFit="1" customWidth="1"/>
    <col min="23" max="23" width="23.77734375" customWidth="1"/>
    <col min="24" max="24" width="16.77734375" bestFit="1" customWidth="1"/>
    <col min="25" max="25" width="14" hidden="1" customWidth="1"/>
    <col min="26" max="26" width="21.21875" hidden="1" customWidth="1"/>
    <col min="27" max="27" width="14" hidden="1" customWidth="1"/>
    <col min="28" max="28" width="33.77734375" customWidth="1"/>
    <col min="29" max="29" width="26.5546875" customWidth="1"/>
    <col min="30" max="30" width="50" customWidth="1"/>
    <col min="31" max="31" width="18.77734375" customWidth="1"/>
    <col min="32" max="32" width="23.77734375" customWidth="1"/>
    <col min="33" max="33" width="16.77734375" customWidth="1"/>
    <col min="34" max="34" width="35.77734375" customWidth="1"/>
    <col min="35" max="35" width="76.21875" customWidth="1"/>
    <col min="36" max="36" width="22.21875" customWidth="1"/>
    <col min="37" max="39" width="22.21875" hidden="1" customWidth="1"/>
    <col min="40" max="40" width="20.44140625" customWidth="1"/>
    <col min="41" max="41" width="34.21875" bestFit="1" customWidth="1"/>
    <col min="42" max="42" width="19.77734375" bestFit="1" customWidth="1"/>
    <col min="43" max="43" width="16.21875" bestFit="1" customWidth="1"/>
    <col min="44" max="47" width="27.21875" customWidth="1"/>
    <col min="48" max="48" width="21.21875" bestFit="1" customWidth="1"/>
    <col min="49" max="49" width="23.21875" bestFit="1" customWidth="1"/>
    <col min="50" max="50" width="68.21875" customWidth="1"/>
    <col min="51" max="51" width="26.5546875" customWidth="1"/>
    <col min="52" max="52" width="14.21875" customWidth="1"/>
    <col min="53" max="53" width="26.5546875" customWidth="1"/>
    <col min="54" max="73" width="26.21875" customWidth="1"/>
    <col min="74" max="74" width="11.5546875" customWidth="1"/>
    <col min="75" max="77" width="8.77734375" customWidth="1"/>
    <col min="78" max="16379" width="8.77734375" hidden="1" customWidth="1"/>
    <col min="16380" max="16383" width="8.77734375" customWidth="1"/>
  </cols>
  <sheetData>
    <row r="1" spans="1:128" ht="15.75" customHeight="1" thickBot="1" x14ac:dyDescent="0.35">
      <c r="A1" s="25"/>
      <c r="B1" s="25"/>
      <c r="C1" s="25"/>
      <c r="D1" s="25"/>
      <c r="E1" s="25"/>
      <c r="F1" s="25"/>
      <c r="G1" s="25"/>
      <c r="H1" s="25"/>
      <c r="I1" s="52"/>
      <c r="J1" s="52"/>
      <c r="K1" s="52"/>
      <c r="L1" s="52"/>
      <c r="M1" s="52"/>
      <c r="N1" s="52"/>
      <c r="O1" s="154" t="s">
        <v>51</v>
      </c>
      <c r="P1" s="277">
        <f>IFERROR(SUM(AE11:AE31), "Error ▲")</f>
        <v>0.69608000000000003</v>
      </c>
      <c r="Q1" s="25"/>
      <c r="R1" s="741" t="s">
        <v>52</v>
      </c>
      <c r="S1" s="25"/>
      <c r="T1" s="26"/>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row>
    <row r="2" spans="1:128" ht="19.95" customHeight="1" x14ac:dyDescent="0.35">
      <c r="A2" s="25"/>
      <c r="B2" s="80" t="s">
        <v>53</v>
      </c>
      <c r="C2" s="704" t="str">
        <f>IF('2. Site Details'!D4="","Enter site name on 2. Site Details",'2. Site Details'!D4)</f>
        <v>Toad Hall Farm</v>
      </c>
      <c r="D2" s="705"/>
      <c r="E2" s="25"/>
      <c r="F2" s="770" t="s">
        <v>54</v>
      </c>
      <c r="G2" s="771"/>
      <c r="H2" s="772"/>
      <c r="I2" s="81"/>
      <c r="J2" s="784" t="str" cm="1">
        <f t="array" ref="J2">IFERROR(IF(OR((ISNUMBER(SEARCH("▲",A7:Q101)))),"Input Errors Present On Sheet - Red Cells Or ▲ Highlight Errors","All Key Rules Satisfied ✓ "),"Technical Errors On Sheet ▲")</f>
        <v xml:space="preserve">All Key Rules Satisfied ✓ </v>
      </c>
      <c r="K2" s="784"/>
      <c r="L2" s="784"/>
      <c r="M2" s="784"/>
      <c r="N2" s="81"/>
      <c r="O2" s="83" t="s">
        <v>55</v>
      </c>
      <c r="P2" s="277">
        <f>IFERROR(N32, "Error ▲")</f>
        <v>0.24159999999999998</v>
      </c>
      <c r="Q2" s="25"/>
      <c r="R2" s="741"/>
      <c r="S2" s="25"/>
      <c r="T2" s="26"/>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row>
    <row r="3" spans="1:128" ht="19.95" customHeight="1" thickBot="1" x14ac:dyDescent="0.4">
      <c r="A3" s="25"/>
      <c r="B3" s="82" t="s">
        <v>13</v>
      </c>
      <c r="C3" s="706" t="s">
        <v>56</v>
      </c>
      <c r="D3" s="707"/>
      <c r="E3" s="25"/>
      <c r="F3" s="773"/>
      <c r="G3" s="774"/>
      <c r="H3" s="775"/>
      <c r="I3" s="81"/>
      <c r="J3" s="784"/>
      <c r="K3" s="784"/>
      <c r="L3" s="784"/>
      <c r="M3" s="784"/>
      <c r="N3" s="81"/>
      <c r="O3" s="83" t="s">
        <v>57</v>
      </c>
      <c r="P3" s="277">
        <f>IFERROR(L61, "Error ▲")</f>
        <v>0</v>
      </c>
      <c r="Q3" s="25"/>
      <c r="R3" s="741"/>
      <c r="S3" s="25"/>
      <c r="T3" s="26"/>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row>
    <row r="4" spans="1:128" ht="19.95" customHeight="1" x14ac:dyDescent="0.3">
      <c r="A4" s="25"/>
      <c r="B4" s="84"/>
      <c r="C4" s="84"/>
      <c r="D4" s="84"/>
      <c r="E4" s="25"/>
      <c r="F4" s="773"/>
      <c r="G4" s="774"/>
      <c r="H4" s="775"/>
      <c r="I4" s="81"/>
      <c r="J4" s="784"/>
      <c r="K4" s="784"/>
      <c r="L4" s="784"/>
      <c r="M4" s="784"/>
      <c r="N4" s="81"/>
      <c r="O4" s="83" t="s">
        <v>58</v>
      </c>
      <c r="P4" s="277">
        <f>IFERROR(L89, "Error ▲")</f>
        <v>0.78080228300228005</v>
      </c>
      <c r="Q4" s="25"/>
      <c r="R4" s="741"/>
      <c r="S4" s="25"/>
      <c r="T4" s="26"/>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row>
    <row r="5" spans="1:128" ht="19.95" customHeight="1" thickBot="1" x14ac:dyDescent="0.35">
      <c r="A5" s="85"/>
      <c r="B5" s="25"/>
      <c r="C5" s="25"/>
      <c r="D5" s="25"/>
      <c r="E5" s="25"/>
      <c r="F5" s="773"/>
      <c r="G5" s="774"/>
      <c r="H5" s="775"/>
      <c r="I5" s="81"/>
      <c r="J5" s="784"/>
      <c r="K5" s="784"/>
      <c r="L5" s="784"/>
      <c r="M5" s="784"/>
      <c r="N5" s="81"/>
      <c r="O5" s="86" t="s">
        <v>59</v>
      </c>
      <c r="P5" s="278">
        <f>IFERROR((P1+L61+L89)-L32, "Error ▲")</f>
        <v>0.17972228300227999</v>
      </c>
      <c r="Q5" s="25"/>
      <c r="R5" s="741"/>
      <c r="S5" s="25"/>
      <c r="T5" s="26"/>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row>
    <row r="6" spans="1:128" ht="13.2" customHeight="1" thickBot="1" x14ac:dyDescent="0.35">
      <c r="A6" s="85"/>
      <c r="B6" s="25"/>
      <c r="C6" s="25"/>
      <c r="D6" s="25"/>
      <c r="E6" s="25"/>
      <c r="F6" s="776"/>
      <c r="G6" s="777"/>
      <c r="H6" s="778"/>
      <c r="I6" s="52"/>
      <c r="J6" s="52"/>
      <c r="K6" s="52"/>
      <c r="L6" s="52"/>
      <c r="M6" s="52"/>
      <c r="N6" s="52"/>
      <c r="O6" s="87"/>
      <c r="P6" s="87"/>
      <c r="Q6" s="25"/>
      <c r="R6" s="741"/>
      <c r="S6" s="25"/>
      <c r="T6" s="26"/>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row>
    <row r="7" spans="1:128" ht="19.2" customHeight="1" x14ac:dyDescent="0.4">
      <c r="A7" s="25"/>
      <c r="B7" s="57" t="s">
        <v>60</v>
      </c>
      <c r="C7" s="25"/>
      <c r="D7" s="88"/>
      <c r="E7" s="25"/>
      <c r="F7" s="25"/>
      <c r="G7" s="25"/>
      <c r="H7" s="26"/>
      <c r="I7" s="25"/>
      <c r="J7" s="25"/>
      <c r="K7" s="26"/>
      <c r="L7" s="30"/>
      <c r="M7" s="30"/>
      <c r="N7" s="30"/>
      <c r="O7" s="25"/>
      <c r="P7" s="25"/>
      <c r="Q7" s="25"/>
      <c r="R7" s="741"/>
      <c r="S7" s="25"/>
      <c r="T7" s="26"/>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row>
    <row r="8" spans="1:128" ht="10.95" customHeight="1" thickBot="1" x14ac:dyDescent="0.35">
      <c r="A8" s="89"/>
      <c r="B8" s="25"/>
      <c r="C8" s="25"/>
      <c r="D8" s="25"/>
      <c r="E8" s="25"/>
      <c r="F8" s="25"/>
      <c r="G8" s="25"/>
      <c r="H8" s="25"/>
      <c r="I8" s="25"/>
      <c r="J8" s="25"/>
      <c r="K8" s="25"/>
      <c r="L8" s="25"/>
      <c r="M8" s="25"/>
      <c r="N8" s="25"/>
      <c r="O8" s="25"/>
      <c r="P8" s="25"/>
      <c r="Q8" s="25"/>
      <c r="R8" s="741"/>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row>
    <row r="9" spans="1:128" ht="29.55" customHeight="1" x14ac:dyDescent="0.3">
      <c r="A9" s="89"/>
      <c r="B9" s="719" t="s">
        <v>46</v>
      </c>
      <c r="C9" s="708" t="s">
        <v>61</v>
      </c>
      <c r="D9" s="718"/>
      <c r="E9" s="710"/>
      <c r="F9" s="654" t="s">
        <v>62</v>
      </c>
      <c r="G9" s="782"/>
      <c r="H9" s="655"/>
      <c r="I9" s="708" t="s">
        <v>63</v>
      </c>
      <c r="J9" s="718"/>
      <c r="K9" s="710"/>
      <c r="L9" s="796" t="s">
        <v>64</v>
      </c>
      <c r="M9" s="797"/>
      <c r="N9" s="798"/>
      <c r="O9" s="796" t="s">
        <v>65</v>
      </c>
      <c r="P9" s="798"/>
      <c r="Q9" s="25"/>
      <c r="R9" s="741"/>
      <c r="S9" s="25"/>
      <c r="T9" s="684" t="s">
        <v>66</v>
      </c>
      <c r="U9" s="685"/>
      <c r="V9" s="686"/>
      <c r="W9" s="799" t="s">
        <v>67</v>
      </c>
      <c r="X9" s="686"/>
      <c r="Y9" s="800"/>
      <c r="Z9" s="800"/>
      <c r="AA9" s="800"/>
      <c r="AB9" s="684" t="s">
        <v>68</v>
      </c>
      <c r="AC9" s="685"/>
      <c r="AD9" s="686"/>
      <c r="AE9" s="684" t="s">
        <v>69</v>
      </c>
      <c r="AF9" s="685"/>
      <c r="AG9" s="686"/>
      <c r="AH9" s="689" t="s">
        <v>70</v>
      </c>
      <c r="AI9" s="687" t="s">
        <v>71</v>
      </c>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row>
    <row r="10" spans="1:128" ht="31.8" thickBot="1" x14ac:dyDescent="0.35">
      <c r="A10" s="89"/>
      <c r="B10" s="667"/>
      <c r="C10" s="86" t="s">
        <v>72</v>
      </c>
      <c r="D10" s="720" t="s">
        <v>73</v>
      </c>
      <c r="E10" s="721"/>
      <c r="F10" s="656"/>
      <c r="G10" s="783"/>
      <c r="H10" s="657"/>
      <c r="I10" s="86" t="s">
        <v>74</v>
      </c>
      <c r="J10" s="197" t="s">
        <v>75</v>
      </c>
      <c r="K10" s="90" t="s">
        <v>76</v>
      </c>
      <c r="L10" s="86" t="s">
        <v>77</v>
      </c>
      <c r="M10" s="197" t="s">
        <v>78</v>
      </c>
      <c r="N10" s="90" t="s">
        <v>79</v>
      </c>
      <c r="O10" s="86" t="s">
        <v>80</v>
      </c>
      <c r="P10" s="90" t="s">
        <v>81</v>
      </c>
      <c r="Q10" s="25"/>
      <c r="R10" s="741"/>
      <c r="S10" s="25"/>
      <c r="T10" s="785" t="s">
        <v>82</v>
      </c>
      <c r="U10" s="786"/>
      <c r="V10" s="92" t="s">
        <v>83</v>
      </c>
      <c r="W10" s="334" t="s">
        <v>84</v>
      </c>
      <c r="X10" s="92" t="s">
        <v>83</v>
      </c>
      <c r="Y10" s="346"/>
      <c r="Z10" s="346"/>
      <c r="AA10" s="346"/>
      <c r="AB10" s="91" t="s">
        <v>68</v>
      </c>
      <c r="AC10" s="49" t="s">
        <v>68</v>
      </c>
      <c r="AD10" s="92" t="s">
        <v>85</v>
      </c>
      <c r="AE10" s="91" t="s">
        <v>86</v>
      </c>
      <c r="AF10" s="49" t="s">
        <v>87</v>
      </c>
      <c r="AG10" s="92" t="s">
        <v>88</v>
      </c>
      <c r="AH10" s="690"/>
      <c r="AI10" s="688"/>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row>
    <row r="11" spans="1:128" ht="28.8" x14ac:dyDescent="0.3">
      <c r="A11" s="89"/>
      <c r="B11" s="263">
        <v>1</v>
      </c>
      <c r="C11" s="258" t="s">
        <v>203</v>
      </c>
      <c r="D11" s="693" t="s">
        <v>305</v>
      </c>
      <c r="E11" s="694"/>
      <c r="F11" s="713" t="s">
        <v>112</v>
      </c>
      <c r="G11" s="714"/>
      <c r="H11" s="715"/>
      <c r="I11" s="305">
        <v>1031.2</v>
      </c>
      <c r="J11" s="323">
        <v>533.20000000000005</v>
      </c>
      <c r="K11" s="307"/>
      <c r="L11" s="408">
        <f>IF(C11="","",IFERROR(IF(I11="","",((I11/10000)*V11*X11)*AD11),"Error ▲"))</f>
        <v>0.41248000000000001</v>
      </c>
      <c r="M11" s="408">
        <f>IF(I11="","",IF(J11+K11&gt;I11,"Area Error ▲",I11-J11-K11))</f>
        <v>498</v>
      </c>
      <c r="N11" s="409">
        <f>IFERROR(IF(I11="","",IF(M11="Area Error ▲","Area Error ▲",((M11/10000)*V11*X11)*AD11)),"This intervention is not permitted within the SSM ▲")</f>
        <v>0.19919999999999999</v>
      </c>
      <c r="O11" s="67" t="s">
        <v>1064</v>
      </c>
      <c r="P11" s="5"/>
      <c r="Q11" s="25"/>
      <c r="R11" s="741"/>
      <c r="S11" s="25"/>
      <c r="T11" s="787" t="str">
        <f>IF(C11="","",VLOOKUP(D11,'9. All Habitats + Multipliers'!$C$4:$K$102,5,FALSE))</f>
        <v>Low</v>
      </c>
      <c r="U11" s="788"/>
      <c r="V11" s="94">
        <f>IF(T11="","",VLOOKUP(T11,'11. Lists'!$B$47:$D$49,2,FALSE))</f>
        <v>2</v>
      </c>
      <c r="W11" s="184" t="str">
        <f>IF(C11="","",VLOOKUP(D11,'10. Condition and Temporal'!$B$6:$C$103,2,FALSE))</f>
        <v>Moderate</v>
      </c>
      <c r="X11" s="94">
        <f>IF(W11="","",VLOOKUP(W11,'11. Lists'!$F$47:$G$51,2,FALSE))</f>
        <v>2</v>
      </c>
      <c r="Y11" s="48"/>
      <c r="Z11" s="48"/>
      <c r="AA11" s="48"/>
      <c r="AB11" s="93" t="str">
        <f>IF(F11="","",F11)</f>
        <v>Area/compensation not in local strategy/ no local strategy</v>
      </c>
      <c r="AC11" s="95" t="str">
        <f>IF(AB11="","",VLOOKUP(AB11,'11. Lists'!$F$36:$H$38,2,FALSE))</f>
        <v>Low Strategic Significance</v>
      </c>
      <c r="AD11" s="94">
        <f>IF(AB11="","",VLOOKUP(AB11,'11. Lists'!$F$36:$H$38,3,FALSE))</f>
        <v>1</v>
      </c>
      <c r="AE11" s="298">
        <f>IF(D11="","",((J11/10000)*V11*X11)*AD11)</f>
        <v>0.21328000000000003</v>
      </c>
      <c r="AF11" s="299">
        <f>IF(D11="","",((K11/10000)*V11*X11)*AD11)</f>
        <v>0</v>
      </c>
      <c r="AG11" s="96">
        <f>IF(D11="","",M11)</f>
        <v>498</v>
      </c>
      <c r="AH11" s="511" t="str">
        <f>IF(T11="","",VLOOKUP(T11,'11. Lists'!$B$47:$D$49,3,FALSE))</f>
        <v>Same distinctiveness or better habitat required</v>
      </c>
      <c r="AI11" s="545" t="str">
        <f>IF(D11="","",VLOOKUP(D11,'10. Condition and Temporal'!$B$6:$L$103,4,FALSE))</f>
        <v>Modified grassland, Other lowland acid grassland, Other neutral grassland, Upland acid grassland</v>
      </c>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row>
    <row r="12" spans="1:128" ht="28.8" x14ac:dyDescent="0.3">
      <c r="A12" s="25"/>
      <c r="B12" s="264">
        <v>2</v>
      </c>
      <c r="C12" s="258" t="s">
        <v>209</v>
      </c>
      <c r="D12" s="691" t="s">
        <v>346</v>
      </c>
      <c r="E12" s="692"/>
      <c r="F12" s="713" t="s">
        <v>112</v>
      </c>
      <c r="G12" s="714"/>
      <c r="H12" s="715"/>
      <c r="I12" s="305">
        <v>1313</v>
      </c>
      <c r="J12" s="306">
        <v>1207</v>
      </c>
      <c r="K12" s="307"/>
      <c r="L12" s="301">
        <f t="shared" ref="L12:L30" si="0">IF(C12="","",IFERROR(IF(I12="","",((I12/10000)*V12*X12)*AD12),"Error ▲"))</f>
        <v>0.5252</v>
      </c>
      <c r="M12" s="301">
        <f t="shared" ref="M12:M30" si="1">IF(I12="","",IF(J12+K12&gt;I12,"Area Error ▲",I12-J12-K12))</f>
        <v>106</v>
      </c>
      <c r="N12" s="356">
        <f t="shared" ref="N12:N30" si="2">IFERROR(IF(I12="","",IF(M12="Area Error ▲","Area Error ▲",((M12/10000)*V12*X12)*AD12)),"This intervention is not permitted within the SSM ▲")</f>
        <v>4.24E-2</v>
      </c>
      <c r="O12" s="68" t="s">
        <v>1064</v>
      </c>
      <c r="P12" s="3"/>
      <c r="Q12" s="25"/>
      <c r="R12" s="741"/>
      <c r="S12" s="25"/>
      <c r="T12" s="787" t="str">
        <f>IF(C12="","",VLOOKUP(D12,'9. All Habitats + Multipliers'!$C$4:$K$102,5,FALSE))</f>
        <v>Low</v>
      </c>
      <c r="U12" s="788"/>
      <c r="V12" s="94">
        <f>IF(T12="","",VLOOKUP(T12,'11. Lists'!$B$47:$D$49,2,FALSE))</f>
        <v>2</v>
      </c>
      <c r="W12" s="184" t="str">
        <f>IF(C12="","",VLOOKUP(D12,'10. Condition and Temporal'!$B$6:$C$103,2,FALSE))</f>
        <v>Moderate</v>
      </c>
      <c r="X12" s="94">
        <f>IF(W12="","",VLOOKUP(W12,'11. Lists'!$F$47:$G$51,2,FALSE))</f>
        <v>2</v>
      </c>
      <c r="Y12" s="48"/>
      <c r="Z12" s="48"/>
      <c r="AA12" s="48"/>
      <c r="AB12" s="93" t="str">
        <f>IF(F12="","",F12)</f>
        <v>Area/compensation not in local strategy/ no local strategy</v>
      </c>
      <c r="AC12" s="95" t="str">
        <f>IF(AB12="","",VLOOKUP(AB12,'11. Lists'!$F$36:$H$38,2,FALSE))</f>
        <v>Low Strategic Significance</v>
      </c>
      <c r="AD12" s="94">
        <f>IF(AB12="","",VLOOKUP(AB12,'11. Lists'!$F$36:$H$38,3,FALSE))</f>
        <v>1</v>
      </c>
      <c r="AE12" s="298">
        <f t="shared" ref="AE12:AE30" si="3">IF(D12="","",((J12/10000)*V12*X12)*AD12)</f>
        <v>0.48280000000000001</v>
      </c>
      <c r="AF12" s="299">
        <f t="shared" ref="AF12:AF30" si="4">IF(D12="","",((K12/10000)*V12*X12)*AD12)</f>
        <v>0</v>
      </c>
      <c r="AG12" s="96">
        <f t="shared" ref="AG12:AG31" si="5">IF(D12="","",M12)</f>
        <v>106</v>
      </c>
      <c r="AH12" s="511" t="str">
        <f>IF(T12="","",VLOOKUP(T12,'11. Lists'!$B$47:$D$49,3,FALSE))</f>
        <v>Same distinctiveness or better habitat required</v>
      </c>
      <c r="AI12" s="545" t="str">
        <f>IF(D12="","",VLOOKUP(D12,'10. Condition and Temporal'!$B$6:$L$103,4,FALSE))</f>
        <v>Bare ground</v>
      </c>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row>
    <row r="13" spans="1:128" ht="28.8" x14ac:dyDescent="0.3">
      <c r="A13" s="25"/>
      <c r="B13" s="264">
        <v>3</v>
      </c>
      <c r="C13" s="258" t="s">
        <v>209</v>
      </c>
      <c r="D13" s="691" t="s">
        <v>333</v>
      </c>
      <c r="E13" s="692"/>
      <c r="F13" s="713" t="s">
        <v>112</v>
      </c>
      <c r="G13" s="714"/>
      <c r="H13" s="715"/>
      <c r="I13" s="305">
        <v>1936.4</v>
      </c>
      <c r="J13" s="306">
        <v>1936.4</v>
      </c>
      <c r="K13" s="307"/>
      <c r="L13" s="301">
        <f t="shared" si="0"/>
        <v>0</v>
      </c>
      <c r="M13" s="301">
        <f t="shared" si="1"/>
        <v>0</v>
      </c>
      <c r="N13" s="356">
        <f t="shared" si="2"/>
        <v>0</v>
      </c>
      <c r="O13" s="68" t="s">
        <v>1065</v>
      </c>
      <c r="P13" s="3"/>
      <c r="Q13" s="25"/>
      <c r="R13" s="741"/>
      <c r="S13" s="25"/>
      <c r="T13" s="787" t="str">
        <f>IF(C13="","",VLOOKUP(D13,'9. All Habitats + Multipliers'!$C$4:$K$102,5,FALSE))</f>
        <v>V.Low</v>
      </c>
      <c r="U13" s="788"/>
      <c r="V13" s="94">
        <f>IF(T13="","",VLOOKUP(T13,'11. Lists'!$B$47:$D$49,2,FALSE))</f>
        <v>0</v>
      </c>
      <c r="W13" s="184" t="str">
        <f>IF(C13="","",VLOOKUP(D13,'10. Condition and Temporal'!$B$6:$C$103,2,FALSE))</f>
        <v>N/A - Other</v>
      </c>
      <c r="X13" s="94">
        <f>IF(W13="","",VLOOKUP(W13,'11. Lists'!$F$47:$G$51,2,FALSE))</f>
        <v>0</v>
      </c>
      <c r="Y13" s="48"/>
      <c r="Z13" s="48"/>
      <c r="AA13" s="48"/>
      <c r="AB13" s="93" t="str">
        <f t="shared" ref="AB13:AB30" si="6">IF(F13="","",F13)</f>
        <v>Area/compensation not in local strategy/ no local strategy</v>
      </c>
      <c r="AC13" s="95" t="str">
        <f>IF(AB13="","",VLOOKUP(AB13,'11. Lists'!$F$36:$H$38,2,FALSE))</f>
        <v>Low Strategic Significance</v>
      </c>
      <c r="AD13" s="94">
        <f>IF(AB13="","",VLOOKUP(AB13,'11. Lists'!$F$36:$H$38,3,FALSE))</f>
        <v>1</v>
      </c>
      <c r="AE13" s="298">
        <f t="shared" si="3"/>
        <v>0</v>
      </c>
      <c r="AF13" s="299">
        <f t="shared" si="4"/>
        <v>0</v>
      </c>
      <c r="AG13" s="96">
        <f t="shared" si="5"/>
        <v>0</v>
      </c>
      <c r="AH13" s="511" t="str">
        <f>IF(T13="","",VLOOKUP(T13,'11. Lists'!$B$47:$D$49,3,FALSE))</f>
        <v>Compensation Not Required</v>
      </c>
      <c r="AI13" s="545" t="str">
        <f>IF(D13="","",VLOOKUP(D13,'10. Condition and Temporal'!$B$6:$L$103,4,FALSE))</f>
        <v>Enhancement not possible</v>
      </c>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row>
    <row r="14" spans="1:128" ht="28.8" x14ac:dyDescent="0.3">
      <c r="A14" s="25"/>
      <c r="B14" s="264">
        <v>4</v>
      </c>
      <c r="C14" s="258" t="s">
        <v>203</v>
      </c>
      <c r="D14" s="693" t="s">
        <v>305</v>
      </c>
      <c r="E14" s="694"/>
      <c r="F14" s="713" t="s">
        <v>112</v>
      </c>
      <c r="G14" s="714"/>
      <c r="H14" s="715"/>
      <c r="I14" s="305">
        <v>898.7</v>
      </c>
      <c r="J14" s="306"/>
      <c r="K14" s="307">
        <v>898.7</v>
      </c>
      <c r="L14" s="301">
        <f t="shared" si="0"/>
        <v>0.35948000000000002</v>
      </c>
      <c r="M14" s="301">
        <f t="shared" si="1"/>
        <v>0</v>
      </c>
      <c r="N14" s="356">
        <f t="shared" si="2"/>
        <v>0</v>
      </c>
      <c r="O14" s="68" t="s">
        <v>1067</v>
      </c>
      <c r="P14" s="3"/>
      <c r="Q14" s="25"/>
      <c r="R14" s="741"/>
      <c r="S14" s="25"/>
      <c r="T14" s="787" t="str">
        <f>IF(C14="","",VLOOKUP(D14,'9. All Habitats + Multipliers'!$C$4:$K$102,5,FALSE))</f>
        <v>Low</v>
      </c>
      <c r="U14" s="788"/>
      <c r="V14" s="94">
        <f>IF(T14="","",VLOOKUP(T14,'11. Lists'!$B$47:$D$49,2,FALSE))</f>
        <v>2</v>
      </c>
      <c r="W14" s="184" t="str">
        <f>IF(C14="","",VLOOKUP(D14,'10. Condition and Temporal'!$B$6:$C$103,2,FALSE))</f>
        <v>Moderate</v>
      </c>
      <c r="X14" s="94">
        <f>IF(W14="","",VLOOKUP(W14,'11. Lists'!$F$47:$G$51,2,FALSE))</f>
        <v>2</v>
      </c>
      <c r="Y14" s="48"/>
      <c r="Z14" s="48"/>
      <c r="AA14" s="48"/>
      <c r="AB14" s="93" t="str">
        <f t="shared" si="6"/>
        <v>Area/compensation not in local strategy/ no local strategy</v>
      </c>
      <c r="AC14" s="95" t="str">
        <f>IF(AB14="","",VLOOKUP(AB14,'11. Lists'!$F$36:$H$38,2,FALSE))</f>
        <v>Low Strategic Significance</v>
      </c>
      <c r="AD14" s="94">
        <f>IF(AB14="","",VLOOKUP(AB14,'11. Lists'!$F$36:$H$38,3,FALSE))</f>
        <v>1</v>
      </c>
      <c r="AE14" s="298">
        <f t="shared" si="3"/>
        <v>0</v>
      </c>
      <c r="AF14" s="299">
        <f t="shared" si="4"/>
        <v>0.35948000000000002</v>
      </c>
      <c r="AG14" s="96">
        <f t="shared" si="5"/>
        <v>0</v>
      </c>
      <c r="AH14" s="511" t="str">
        <f>IF(T14="","",VLOOKUP(T14,'11. Lists'!$B$47:$D$49,3,FALSE))</f>
        <v>Same distinctiveness or better habitat required</v>
      </c>
      <c r="AI14" s="545" t="str">
        <f>IF(D14="","",VLOOKUP(D14,'10. Condition and Temporal'!$B$6:$L$103,4,FALSE))</f>
        <v>Modified grassland, Other lowland acid grassland, Other neutral grassland, Upland acid grassland</v>
      </c>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row>
    <row r="15" spans="1:128" ht="15.6" x14ac:dyDescent="0.3">
      <c r="A15" s="25"/>
      <c r="B15" s="264">
        <v>5</v>
      </c>
      <c r="C15" s="258"/>
      <c r="D15" s="691"/>
      <c r="E15" s="692"/>
      <c r="F15" s="713"/>
      <c r="G15" s="714"/>
      <c r="H15" s="715"/>
      <c r="I15" s="305"/>
      <c r="J15" s="306"/>
      <c r="K15" s="307"/>
      <c r="L15" s="301" t="str">
        <f t="shared" si="0"/>
        <v/>
      </c>
      <c r="M15" s="301" t="str">
        <f t="shared" si="1"/>
        <v/>
      </c>
      <c r="N15" s="356" t="str">
        <f t="shared" si="2"/>
        <v/>
      </c>
      <c r="O15" s="68"/>
      <c r="P15" s="3"/>
      <c r="Q15" s="25"/>
      <c r="R15" s="741"/>
      <c r="S15" s="25"/>
      <c r="T15" s="787" t="str">
        <f>IF(C15="","",VLOOKUP(D15,'9. All Habitats + Multipliers'!$C$4:$K$102,5,FALSE))</f>
        <v/>
      </c>
      <c r="U15" s="788"/>
      <c r="V15" s="94" t="str">
        <f>IF(T15="","",VLOOKUP(T15,'11. Lists'!$B$47:$D$49,2,FALSE))</f>
        <v/>
      </c>
      <c r="W15" s="184" t="str">
        <f>IF(C15="","",VLOOKUP(D15,'10. Condition and Temporal'!$B$6:$C$103,2,FALSE))</f>
        <v/>
      </c>
      <c r="X15" s="94" t="str">
        <f>IF(W15="","",VLOOKUP(W15,'11. Lists'!$F$47:$G$51,2,FALSE))</f>
        <v/>
      </c>
      <c r="Y15" s="48"/>
      <c r="Z15" s="48"/>
      <c r="AA15" s="48"/>
      <c r="AB15" s="93" t="str">
        <f t="shared" si="6"/>
        <v/>
      </c>
      <c r="AC15" s="95" t="str">
        <f>IF(AB15="","",VLOOKUP(AB15,'11. Lists'!$F$36:$H$38,2,FALSE))</f>
        <v/>
      </c>
      <c r="AD15" s="94" t="str">
        <f>IF(AB15="","",VLOOKUP(AB15,'11. Lists'!$F$36:$H$38,3,FALSE))</f>
        <v/>
      </c>
      <c r="AE15" s="298" t="str">
        <f t="shared" si="3"/>
        <v/>
      </c>
      <c r="AF15" s="299" t="str">
        <f t="shared" si="4"/>
        <v/>
      </c>
      <c r="AG15" s="96" t="str">
        <f t="shared" si="5"/>
        <v/>
      </c>
      <c r="AH15" s="511" t="str">
        <f>IF(T15="","",VLOOKUP(T15,'11. Lists'!$B$47:$D$49,3,FALSE))</f>
        <v/>
      </c>
      <c r="AI15" s="545" t="str">
        <f>IF(D15="","",VLOOKUP(D15,'10. Condition and Temporal'!$B$6:$L$103,4,FALSE))</f>
        <v/>
      </c>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row>
    <row r="16" spans="1:128" ht="15.6" x14ac:dyDescent="0.3">
      <c r="A16" s="25"/>
      <c r="B16" s="264">
        <v>6</v>
      </c>
      <c r="C16" s="258"/>
      <c r="D16" s="691"/>
      <c r="E16" s="692"/>
      <c r="F16" s="713"/>
      <c r="G16" s="714"/>
      <c r="H16" s="715"/>
      <c r="I16" s="305"/>
      <c r="J16" s="306"/>
      <c r="K16" s="307"/>
      <c r="L16" s="301" t="str">
        <f t="shared" si="0"/>
        <v/>
      </c>
      <c r="M16" s="301" t="str">
        <f t="shared" si="1"/>
        <v/>
      </c>
      <c r="N16" s="356" t="str">
        <f t="shared" si="2"/>
        <v/>
      </c>
      <c r="O16" s="68"/>
      <c r="P16" s="3"/>
      <c r="Q16" s="25"/>
      <c r="R16" s="741"/>
      <c r="S16" s="25"/>
      <c r="T16" s="787" t="str">
        <f>IF(C16="","",VLOOKUP(D16,'9. All Habitats + Multipliers'!$C$4:$K$102,5,FALSE))</f>
        <v/>
      </c>
      <c r="U16" s="788"/>
      <c r="V16" s="94" t="str">
        <f>IF(T16="","",VLOOKUP(T16,'11. Lists'!$B$47:$D$49,2,FALSE))</f>
        <v/>
      </c>
      <c r="W16" s="184" t="str">
        <f>IF(C16="","",VLOOKUP(D16,'10. Condition and Temporal'!$B$6:$C$103,2,FALSE))</f>
        <v/>
      </c>
      <c r="X16" s="94" t="str">
        <f>IF(W16="","",VLOOKUP(W16,'11. Lists'!$F$47:$G$51,2,FALSE))</f>
        <v/>
      </c>
      <c r="Y16" s="48"/>
      <c r="Z16" s="48"/>
      <c r="AA16" s="48"/>
      <c r="AB16" s="93" t="str">
        <f t="shared" si="6"/>
        <v/>
      </c>
      <c r="AC16" s="95" t="str">
        <f>IF(AB16="","",VLOOKUP(AB16,'11. Lists'!$F$36:$H$38,2,FALSE))</f>
        <v/>
      </c>
      <c r="AD16" s="94" t="str">
        <f>IF(AB16="","",VLOOKUP(AB16,'11. Lists'!$F$36:$H$38,3,FALSE))</f>
        <v/>
      </c>
      <c r="AE16" s="298" t="str">
        <f t="shared" si="3"/>
        <v/>
      </c>
      <c r="AF16" s="299" t="str">
        <f t="shared" si="4"/>
        <v/>
      </c>
      <c r="AG16" s="96" t="str">
        <f t="shared" si="5"/>
        <v/>
      </c>
      <c r="AH16" s="511" t="str">
        <f>IF(T16="","",VLOOKUP(T16,'11. Lists'!$B$47:$D$49,3,FALSE))</f>
        <v/>
      </c>
      <c r="AI16" s="545" t="str">
        <f>IF(D16="","",VLOOKUP(D16,'10. Condition and Temporal'!$B$6:$L$103,4,FALSE))</f>
        <v/>
      </c>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row>
    <row r="17" spans="1:128" ht="15.6" x14ac:dyDescent="0.3">
      <c r="A17" s="25"/>
      <c r="B17" s="264">
        <v>7</v>
      </c>
      <c r="C17" s="258"/>
      <c r="D17" s="691"/>
      <c r="E17" s="692"/>
      <c r="F17" s="713"/>
      <c r="G17" s="714"/>
      <c r="H17" s="715"/>
      <c r="I17" s="305"/>
      <c r="J17" s="306"/>
      <c r="K17" s="307"/>
      <c r="L17" s="301" t="str">
        <f t="shared" si="0"/>
        <v/>
      </c>
      <c r="M17" s="301" t="str">
        <f t="shared" si="1"/>
        <v/>
      </c>
      <c r="N17" s="356" t="str">
        <f t="shared" si="2"/>
        <v/>
      </c>
      <c r="O17" s="68"/>
      <c r="P17" s="3"/>
      <c r="Q17" s="25"/>
      <c r="R17" s="741"/>
      <c r="S17" s="25"/>
      <c r="T17" s="787" t="str">
        <f>IF(C17="","",VLOOKUP(D17,'9. All Habitats + Multipliers'!$C$4:$K$102,5,FALSE))</f>
        <v/>
      </c>
      <c r="U17" s="788"/>
      <c r="V17" s="94" t="str">
        <f>IF(T17="","",VLOOKUP(T17,'11. Lists'!$B$47:$D$49,2,FALSE))</f>
        <v/>
      </c>
      <c r="W17" s="184" t="str">
        <f>IF(C17="","",VLOOKUP(D17,'10. Condition and Temporal'!$B$6:$C$103,2,FALSE))</f>
        <v/>
      </c>
      <c r="X17" s="94" t="str">
        <f>IF(W17="","",VLOOKUP(W17,'11. Lists'!$F$47:$G$51,2,FALSE))</f>
        <v/>
      </c>
      <c r="Y17" s="48"/>
      <c r="Z17" s="48"/>
      <c r="AA17" s="48"/>
      <c r="AB17" s="93" t="str">
        <f t="shared" si="6"/>
        <v/>
      </c>
      <c r="AC17" s="95" t="str">
        <f>IF(AB17="","",VLOOKUP(AB17,'11. Lists'!$F$36:$H$38,2,FALSE))</f>
        <v/>
      </c>
      <c r="AD17" s="94" t="str">
        <f>IF(AB17="","",VLOOKUP(AB17,'11. Lists'!$F$36:$H$38,3,FALSE))</f>
        <v/>
      </c>
      <c r="AE17" s="298" t="str">
        <f t="shared" si="3"/>
        <v/>
      </c>
      <c r="AF17" s="299" t="str">
        <f t="shared" si="4"/>
        <v/>
      </c>
      <c r="AG17" s="96" t="str">
        <f t="shared" si="5"/>
        <v/>
      </c>
      <c r="AH17" s="511" t="str">
        <f>IF(T17="","",VLOOKUP(T17,'11. Lists'!$B$47:$D$49,3,FALSE))</f>
        <v/>
      </c>
      <c r="AI17" s="545" t="str">
        <f>IF(D17="","",VLOOKUP(D17,'10. Condition and Temporal'!$B$6:$L$103,4,FALSE))</f>
        <v/>
      </c>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row>
    <row r="18" spans="1:128" ht="15.6" x14ac:dyDescent="0.3">
      <c r="A18" s="25"/>
      <c r="B18" s="264">
        <v>8</v>
      </c>
      <c r="C18" s="258"/>
      <c r="D18" s="691"/>
      <c r="E18" s="692"/>
      <c r="F18" s="713"/>
      <c r="G18" s="714"/>
      <c r="H18" s="715"/>
      <c r="I18" s="305"/>
      <c r="J18" s="306"/>
      <c r="K18" s="307"/>
      <c r="L18" s="301" t="str">
        <f t="shared" si="0"/>
        <v/>
      </c>
      <c r="M18" s="301" t="str">
        <f t="shared" si="1"/>
        <v/>
      </c>
      <c r="N18" s="356" t="str">
        <f t="shared" si="2"/>
        <v/>
      </c>
      <c r="O18" s="68"/>
      <c r="P18" s="3"/>
      <c r="Q18" s="25"/>
      <c r="R18" s="741"/>
      <c r="S18" s="25"/>
      <c r="T18" s="787" t="str">
        <f>IF(C18="","",VLOOKUP(D18,'9. All Habitats + Multipliers'!$C$4:$K$102,5,FALSE))</f>
        <v/>
      </c>
      <c r="U18" s="788"/>
      <c r="V18" s="94" t="str">
        <f>IF(T18="","",VLOOKUP(T18,'11. Lists'!$B$47:$D$49,2,FALSE))</f>
        <v/>
      </c>
      <c r="W18" s="184" t="str">
        <f>IF(C18="","",VLOOKUP(D18,'10. Condition and Temporal'!$B$6:$C$103,2,FALSE))</f>
        <v/>
      </c>
      <c r="X18" s="94" t="str">
        <f>IF(W18="","",VLOOKUP(W18,'11. Lists'!$F$47:$G$51,2,FALSE))</f>
        <v/>
      </c>
      <c r="Y18" s="48"/>
      <c r="Z18" s="48"/>
      <c r="AA18" s="48"/>
      <c r="AB18" s="93" t="str">
        <f t="shared" si="6"/>
        <v/>
      </c>
      <c r="AC18" s="95" t="str">
        <f>IF(AB18="","",VLOOKUP(AB18,'11. Lists'!$F$36:$H$38,2,FALSE))</f>
        <v/>
      </c>
      <c r="AD18" s="94" t="str">
        <f>IF(AB18="","",VLOOKUP(AB18,'11. Lists'!$F$36:$H$38,3,FALSE))</f>
        <v/>
      </c>
      <c r="AE18" s="298" t="str">
        <f t="shared" si="3"/>
        <v/>
      </c>
      <c r="AF18" s="299" t="str">
        <f t="shared" si="4"/>
        <v/>
      </c>
      <c r="AG18" s="96" t="str">
        <f t="shared" si="5"/>
        <v/>
      </c>
      <c r="AH18" s="511" t="str">
        <f>IF(T18="","",VLOOKUP(T18,'11. Lists'!$B$47:$D$49,3,FALSE))</f>
        <v/>
      </c>
      <c r="AI18" s="545" t="str">
        <f>IF(D18="","",VLOOKUP(D18,'10. Condition and Temporal'!$B$6:$L$103,4,FALSE))</f>
        <v/>
      </c>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row>
    <row r="19" spans="1:128" ht="15.6" x14ac:dyDescent="0.3">
      <c r="A19" s="25"/>
      <c r="B19" s="264">
        <v>9</v>
      </c>
      <c r="C19" s="258"/>
      <c r="D19" s="691"/>
      <c r="E19" s="692"/>
      <c r="F19" s="713"/>
      <c r="G19" s="714"/>
      <c r="H19" s="715"/>
      <c r="I19" s="305"/>
      <c r="J19" s="306"/>
      <c r="K19" s="307"/>
      <c r="L19" s="301" t="str">
        <f t="shared" si="0"/>
        <v/>
      </c>
      <c r="M19" s="301" t="str">
        <f t="shared" si="1"/>
        <v/>
      </c>
      <c r="N19" s="356" t="str">
        <f t="shared" si="2"/>
        <v/>
      </c>
      <c r="O19" s="68"/>
      <c r="P19" s="3"/>
      <c r="Q19" s="25"/>
      <c r="R19" s="741"/>
      <c r="S19" s="25"/>
      <c r="T19" s="787" t="str">
        <f>IF(C19="","",VLOOKUP(D19,'9. All Habitats + Multipliers'!$C$4:$K$102,5,FALSE))</f>
        <v/>
      </c>
      <c r="U19" s="788"/>
      <c r="V19" s="94" t="str">
        <f>IF(T19="","",VLOOKUP(T19,'11. Lists'!$B$47:$D$49,2,FALSE))</f>
        <v/>
      </c>
      <c r="W19" s="184" t="str">
        <f>IF(C19="","",VLOOKUP(D19,'10. Condition and Temporal'!$B$6:$C$103,2,FALSE))</f>
        <v/>
      </c>
      <c r="X19" s="94" t="str">
        <f>IF(W19="","",VLOOKUP(W19,'11. Lists'!$F$47:$G$51,2,FALSE))</f>
        <v/>
      </c>
      <c r="Y19" s="48"/>
      <c r="Z19" s="48"/>
      <c r="AA19" s="48"/>
      <c r="AB19" s="93" t="str">
        <f t="shared" si="6"/>
        <v/>
      </c>
      <c r="AC19" s="95" t="str">
        <f>IF(AB19="","",VLOOKUP(AB19,'11. Lists'!$F$36:$H$38,2,FALSE))</f>
        <v/>
      </c>
      <c r="AD19" s="94" t="str">
        <f>IF(AB19="","",VLOOKUP(AB19,'11. Lists'!$F$36:$H$38,3,FALSE))</f>
        <v/>
      </c>
      <c r="AE19" s="298" t="str">
        <f t="shared" si="3"/>
        <v/>
      </c>
      <c r="AF19" s="299" t="str">
        <f t="shared" si="4"/>
        <v/>
      </c>
      <c r="AG19" s="96" t="str">
        <f t="shared" si="5"/>
        <v/>
      </c>
      <c r="AH19" s="511" t="str">
        <f>IF(T19="","",VLOOKUP(T19,'11. Lists'!$B$47:$D$49,3,FALSE))</f>
        <v/>
      </c>
      <c r="AI19" s="545" t="str">
        <f>IF(D19="","",VLOOKUP(D19,'10. Condition and Temporal'!$B$6:$L$103,4,FALSE))</f>
        <v/>
      </c>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row>
    <row r="20" spans="1:128" ht="15.6" x14ac:dyDescent="0.3">
      <c r="A20" s="25"/>
      <c r="B20" s="264">
        <v>10</v>
      </c>
      <c r="C20" s="258"/>
      <c r="D20" s="691"/>
      <c r="E20" s="692"/>
      <c r="F20" s="713"/>
      <c r="G20" s="714"/>
      <c r="H20" s="715"/>
      <c r="I20" s="305"/>
      <c r="J20" s="306"/>
      <c r="K20" s="307"/>
      <c r="L20" s="301" t="str">
        <f t="shared" si="0"/>
        <v/>
      </c>
      <c r="M20" s="301" t="str">
        <f t="shared" si="1"/>
        <v/>
      </c>
      <c r="N20" s="356" t="str">
        <f t="shared" si="2"/>
        <v/>
      </c>
      <c r="O20" s="69"/>
      <c r="P20" s="8"/>
      <c r="Q20" s="25"/>
      <c r="R20" s="741"/>
      <c r="S20" s="25"/>
      <c r="T20" s="787" t="str">
        <f>IF(C20="","",VLOOKUP(D20,'9. All Habitats + Multipliers'!$C$4:$K$102,5,FALSE))</f>
        <v/>
      </c>
      <c r="U20" s="788"/>
      <c r="V20" s="94" t="str">
        <f>IF(T20="","",VLOOKUP(T20,'11. Lists'!$B$47:$D$49,2,FALSE))</f>
        <v/>
      </c>
      <c r="W20" s="184" t="str">
        <f>IF(C20="","",VLOOKUP(D20,'10. Condition and Temporal'!$B$6:$C$103,2,FALSE))</f>
        <v/>
      </c>
      <c r="X20" s="94" t="str">
        <f>IF(W20="","",VLOOKUP(W20,'11. Lists'!$F$47:$G$51,2,FALSE))</f>
        <v/>
      </c>
      <c r="Y20" s="48"/>
      <c r="Z20" s="48"/>
      <c r="AA20" s="48"/>
      <c r="AB20" s="93" t="str">
        <f t="shared" si="6"/>
        <v/>
      </c>
      <c r="AC20" s="95" t="str">
        <f>IF(AB20="","",VLOOKUP(AB20,'11. Lists'!$F$36:$H$38,2,FALSE))</f>
        <v/>
      </c>
      <c r="AD20" s="94" t="str">
        <f>IF(AB20="","",VLOOKUP(AB20,'11. Lists'!$F$36:$H$38,3,FALSE))</f>
        <v/>
      </c>
      <c r="AE20" s="298" t="str">
        <f t="shared" si="3"/>
        <v/>
      </c>
      <c r="AF20" s="299" t="str">
        <f t="shared" si="4"/>
        <v/>
      </c>
      <c r="AG20" s="96" t="str">
        <f t="shared" si="5"/>
        <v/>
      </c>
      <c r="AH20" s="511" t="str">
        <f>IF(T20="","",VLOOKUP(T20,'11. Lists'!$B$47:$D$49,3,FALSE))</f>
        <v/>
      </c>
      <c r="AI20" s="545" t="str">
        <f>IF(D20="","",VLOOKUP(D20,'10. Condition and Temporal'!$B$6:$L$103,4,FALSE))</f>
        <v/>
      </c>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row>
    <row r="21" spans="1:128" ht="15.6" x14ac:dyDescent="0.3">
      <c r="A21" s="25"/>
      <c r="B21" s="264">
        <v>11</v>
      </c>
      <c r="C21" s="258"/>
      <c r="D21" s="691"/>
      <c r="E21" s="692"/>
      <c r="F21" s="713"/>
      <c r="G21" s="714"/>
      <c r="H21" s="715"/>
      <c r="I21" s="305"/>
      <c r="J21" s="306"/>
      <c r="K21" s="307"/>
      <c r="L21" s="301" t="str">
        <f t="shared" si="0"/>
        <v/>
      </c>
      <c r="M21" s="301" t="str">
        <f t="shared" si="1"/>
        <v/>
      </c>
      <c r="N21" s="356" t="str">
        <f t="shared" si="2"/>
        <v/>
      </c>
      <c r="O21" s="69"/>
      <c r="P21" s="8"/>
      <c r="Q21" s="25"/>
      <c r="R21" s="741"/>
      <c r="S21" s="25"/>
      <c r="T21" s="787" t="str">
        <f>IF(C21="","",VLOOKUP(D21,'9. All Habitats + Multipliers'!$C$4:$K$102,5,FALSE))</f>
        <v/>
      </c>
      <c r="U21" s="788"/>
      <c r="V21" s="94" t="str">
        <f>IF(T21="","",VLOOKUP(T21,'11. Lists'!$B$47:$D$49,2,FALSE))</f>
        <v/>
      </c>
      <c r="W21" s="184" t="str">
        <f>IF(C21="","",VLOOKUP(D21,'10. Condition and Temporal'!$B$6:$C$103,2,FALSE))</f>
        <v/>
      </c>
      <c r="X21" s="94" t="str">
        <f>IF(W21="","",VLOOKUP(W21,'11. Lists'!$F$47:$G$51,2,FALSE))</f>
        <v/>
      </c>
      <c r="Y21" s="48"/>
      <c r="Z21" s="48"/>
      <c r="AA21" s="48"/>
      <c r="AB21" s="93" t="str">
        <f t="shared" si="6"/>
        <v/>
      </c>
      <c r="AC21" s="95" t="str">
        <f>IF(AB21="","",VLOOKUP(AB21,'11. Lists'!$F$36:$H$38,2,FALSE))</f>
        <v/>
      </c>
      <c r="AD21" s="94" t="str">
        <f>IF(AB21="","",VLOOKUP(AB21,'11. Lists'!$F$36:$H$38,3,FALSE))</f>
        <v/>
      </c>
      <c r="AE21" s="298" t="str">
        <f t="shared" si="3"/>
        <v/>
      </c>
      <c r="AF21" s="299" t="str">
        <f t="shared" si="4"/>
        <v/>
      </c>
      <c r="AG21" s="96" t="str">
        <f t="shared" si="5"/>
        <v/>
      </c>
      <c r="AH21" s="511" t="str">
        <f>IF(T21="","",VLOOKUP(T21,'11. Lists'!$B$47:$D$49,3,FALSE))</f>
        <v/>
      </c>
      <c r="AI21" s="545" t="str">
        <f>IF(D21="","",VLOOKUP(D21,'10. Condition and Temporal'!$B$6:$L$103,4,FALSE))</f>
        <v/>
      </c>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row>
    <row r="22" spans="1:128" ht="15.6" x14ac:dyDescent="0.3">
      <c r="A22" s="25"/>
      <c r="B22" s="264">
        <v>12</v>
      </c>
      <c r="C22" s="258"/>
      <c r="D22" s="691"/>
      <c r="E22" s="692"/>
      <c r="F22" s="713"/>
      <c r="G22" s="714"/>
      <c r="H22" s="715"/>
      <c r="I22" s="305"/>
      <c r="J22" s="306"/>
      <c r="K22" s="307"/>
      <c r="L22" s="301" t="str">
        <f t="shared" si="0"/>
        <v/>
      </c>
      <c r="M22" s="301" t="str">
        <f t="shared" si="1"/>
        <v/>
      </c>
      <c r="N22" s="356" t="str">
        <f t="shared" si="2"/>
        <v/>
      </c>
      <c r="O22" s="69"/>
      <c r="P22" s="8"/>
      <c r="Q22" s="25"/>
      <c r="R22" s="741"/>
      <c r="S22" s="25"/>
      <c r="T22" s="787" t="str">
        <f>IF(C22="","",VLOOKUP(D22,'9. All Habitats + Multipliers'!$C$4:$K$102,5,FALSE))</f>
        <v/>
      </c>
      <c r="U22" s="788"/>
      <c r="V22" s="94" t="str">
        <f>IF(T22="","",VLOOKUP(T22,'11. Lists'!$B$47:$D$49,2,FALSE))</f>
        <v/>
      </c>
      <c r="W22" s="184" t="str">
        <f>IF(C22="","",VLOOKUP(D22,'10. Condition and Temporal'!$B$6:$C$103,2,FALSE))</f>
        <v/>
      </c>
      <c r="X22" s="94" t="str">
        <f>IF(W22="","",VLOOKUP(W22,'11. Lists'!$F$47:$G$51,2,FALSE))</f>
        <v/>
      </c>
      <c r="Y22" s="48"/>
      <c r="Z22" s="48"/>
      <c r="AA22" s="48"/>
      <c r="AB22" s="93" t="str">
        <f t="shared" si="6"/>
        <v/>
      </c>
      <c r="AC22" s="95" t="str">
        <f>IF(AB22="","",VLOOKUP(AB22,'11. Lists'!$F$36:$H$38,2,FALSE))</f>
        <v/>
      </c>
      <c r="AD22" s="94" t="str">
        <f>IF(AB22="","",VLOOKUP(AB22,'11. Lists'!$F$36:$H$38,3,FALSE))</f>
        <v/>
      </c>
      <c r="AE22" s="298" t="str">
        <f t="shared" si="3"/>
        <v/>
      </c>
      <c r="AF22" s="299" t="str">
        <f t="shared" si="4"/>
        <v/>
      </c>
      <c r="AG22" s="96" t="str">
        <f t="shared" si="5"/>
        <v/>
      </c>
      <c r="AH22" s="511" t="str">
        <f>IF(T22="","",VLOOKUP(T22,'11. Lists'!$B$47:$D$49,3,FALSE))</f>
        <v/>
      </c>
      <c r="AI22" s="545" t="str">
        <f>IF(D22="","",VLOOKUP(D22,'10. Condition and Temporal'!$B$6:$L$103,4,FALSE))</f>
        <v/>
      </c>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row>
    <row r="23" spans="1:128" ht="15.6" x14ac:dyDescent="0.3">
      <c r="A23" s="25"/>
      <c r="B23" s="264">
        <v>13</v>
      </c>
      <c r="C23" s="259"/>
      <c r="D23" s="691"/>
      <c r="E23" s="692"/>
      <c r="F23" s="713"/>
      <c r="G23" s="714"/>
      <c r="H23" s="715"/>
      <c r="I23" s="305"/>
      <c r="J23" s="306"/>
      <c r="K23" s="307"/>
      <c r="L23" s="301" t="str">
        <f t="shared" si="0"/>
        <v/>
      </c>
      <c r="M23" s="301" t="str">
        <f t="shared" si="1"/>
        <v/>
      </c>
      <c r="N23" s="356" t="str">
        <f t="shared" si="2"/>
        <v/>
      </c>
      <c r="O23" s="69"/>
      <c r="P23" s="8"/>
      <c r="Q23" s="25"/>
      <c r="R23" s="741"/>
      <c r="S23" s="25"/>
      <c r="T23" s="787" t="str">
        <f>IF(C23="","",VLOOKUP(D23,'9. All Habitats + Multipliers'!$C$4:$K$102,5,FALSE))</f>
        <v/>
      </c>
      <c r="U23" s="788"/>
      <c r="V23" s="94" t="str">
        <f>IF(T23="","",VLOOKUP(T23,'11. Lists'!$B$47:$D$49,2,FALSE))</f>
        <v/>
      </c>
      <c r="W23" s="184" t="str">
        <f>IF(C23="","",VLOOKUP(D23,'10. Condition and Temporal'!$B$6:$C$103,2,FALSE))</f>
        <v/>
      </c>
      <c r="X23" s="94" t="str">
        <f>IF(W23="","",VLOOKUP(W23,'11. Lists'!$F$47:$G$51,2,FALSE))</f>
        <v/>
      </c>
      <c r="Y23" s="48"/>
      <c r="Z23" s="48"/>
      <c r="AA23" s="48"/>
      <c r="AB23" s="93" t="str">
        <f t="shared" si="6"/>
        <v/>
      </c>
      <c r="AC23" s="95" t="str">
        <f>IF(AB23="","",VLOOKUP(AB23,'11. Lists'!$F$36:$H$38,2,FALSE))</f>
        <v/>
      </c>
      <c r="AD23" s="94" t="str">
        <f>IF(AB23="","",VLOOKUP(AB23,'11. Lists'!$F$36:$H$38,3,FALSE))</f>
        <v/>
      </c>
      <c r="AE23" s="298" t="str">
        <f t="shared" si="3"/>
        <v/>
      </c>
      <c r="AF23" s="299" t="str">
        <f t="shared" si="4"/>
        <v/>
      </c>
      <c r="AG23" s="96" t="str">
        <f t="shared" si="5"/>
        <v/>
      </c>
      <c r="AH23" s="511" t="str">
        <f>IF(T23="","",VLOOKUP(T23,'11. Lists'!$B$47:$D$49,3,FALSE))</f>
        <v/>
      </c>
      <c r="AI23" s="545" t="str">
        <f>IF(D23="","",VLOOKUP(D23,'10. Condition and Temporal'!$B$6:$L$103,4,FALSE))</f>
        <v/>
      </c>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row>
    <row r="24" spans="1:128" ht="15.6" x14ac:dyDescent="0.3">
      <c r="A24" s="25"/>
      <c r="B24" s="264">
        <v>14</v>
      </c>
      <c r="C24" s="259"/>
      <c r="D24" s="691"/>
      <c r="E24" s="692"/>
      <c r="F24" s="713"/>
      <c r="G24" s="714"/>
      <c r="H24" s="715"/>
      <c r="I24" s="305"/>
      <c r="J24" s="306"/>
      <c r="K24" s="307"/>
      <c r="L24" s="301" t="str">
        <f t="shared" si="0"/>
        <v/>
      </c>
      <c r="M24" s="301" t="str">
        <f t="shared" si="1"/>
        <v/>
      </c>
      <c r="N24" s="356" t="str">
        <f t="shared" si="2"/>
        <v/>
      </c>
      <c r="O24" s="69"/>
      <c r="P24" s="8"/>
      <c r="Q24" s="25"/>
      <c r="R24" s="741"/>
      <c r="S24" s="25"/>
      <c r="T24" s="787" t="str">
        <f>IF(C24="","",VLOOKUP(D24,'9. All Habitats + Multipliers'!$C$4:$K$102,5,FALSE))</f>
        <v/>
      </c>
      <c r="U24" s="788"/>
      <c r="V24" s="94" t="str">
        <f>IF(T24="","",VLOOKUP(T24,'11. Lists'!$B$47:$D$49,2,FALSE))</f>
        <v/>
      </c>
      <c r="W24" s="184" t="str">
        <f>IF(C24="","",VLOOKUP(D24,'10. Condition and Temporal'!$B$6:$C$103,2,FALSE))</f>
        <v/>
      </c>
      <c r="X24" s="94" t="str">
        <f>IF(W24="","",VLOOKUP(W24,'11. Lists'!$F$47:$G$51,2,FALSE))</f>
        <v/>
      </c>
      <c r="Y24" s="48"/>
      <c r="Z24" s="48"/>
      <c r="AA24" s="48"/>
      <c r="AB24" s="93" t="str">
        <f t="shared" si="6"/>
        <v/>
      </c>
      <c r="AC24" s="95" t="str">
        <f>IF(AB24="","",VLOOKUP(AB24,'11. Lists'!$F$36:$H$38,2,FALSE))</f>
        <v/>
      </c>
      <c r="AD24" s="94" t="str">
        <f>IF(AB24="","",VLOOKUP(AB24,'11. Lists'!$F$36:$H$38,3,FALSE))</f>
        <v/>
      </c>
      <c r="AE24" s="298" t="str">
        <f t="shared" si="3"/>
        <v/>
      </c>
      <c r="AF24" s="299" t="str">
        <f t="shared" si="4"/>
        <v/>
      </c>
      <c r="AG24" s="96" t="str">
        <f t="shared" si="5"/>
        <v/>
      </c>
      <c r="AH24" s="511" t="str">
        <f>IF(T24="","",VLOOKUP(T24,'11. Lists'!$B$47:$D$49,3,FALSE))</f>
        <v/>
      </c>
      <c r="AI24" s="545" t="str">
        <f>IF(D24="","",VLOOKUP(D24,'10. Condition and Temporal'!$B$6:$L$103,4,FALSE))</f>
        <v/>
      </c>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row>
    <row r="25" spans="1:128" ht="15.6" x14ac:dyDescent="0.3">
      <c r="A25" s="25"/>
      <c r="B25" s="264">
        <v>15</v>
      </c>
      <c r="C25" s="259"/>
      <c r="D25" s="691"/>
      <c r="E25" s="692"/>
      <c r="F25" s="713"/>
      <c r="G25" s="714"/>
      <c r="H25" s="715"/>
      <c r="I25" s="305"/>
      <c r="J25" s="306"/>
      <c r="K25" s="307"/>
      <c r="L25" s="301" t="str">
        <f t="shared" si="0"/>
        <v/>
      </c>
      <c r="M25" s="301" t="str">
        <f t="shared" si="1"/>
        <v/>
      </c>
      <c r="N25" s="356" t="str">
        <f t="shared" si="2"/>
        <v/>
      </c>
      <c r="O25" s="69"/>
      <c r="P25" s="8"/>
      <c r="Q25" s="25"/>
      <c r="R25" s="741"/>
      <c r="S25" s="25"/>
      <c r="T25" s="787" t="str">
        <f>IF(C25="","",VLOOKUP(D25,'9. All Habitats + Multipliers'!$C$4:$K$102,5,FALSE))</f>
        <v/>
      </c>
      <c r="U25" s="788"/>
      <c r="V25" s="94" t="str">
        <f>IF(T25="","",VLOOKUP(T25,'11. Lists'!$B$47:$D$49,2,FALSE))</f>
        <v/>
      </c>
      <c r="W25" s="184" t="str">
        <f>IF(C25="","",VLOOKUP(D25,'10. Condition and Temporal'!$B$6:$C$103,2,FALSE))</f>
        <v/>
      </c>
      <c r="X25" s="94" t="str">
        <f>IF(W25="","",VLOOKUP(W25,'11. Lists'!$F$47:$G$51,2,FALSE))</f>
        <v/>
      </c>
      <c r="Y25" s="48"/>
      <c r="Z25" s="48"/>
      <c r="AA25" s="48"/>
      <c r="AB25" s="93" t="str">
        <f t="shared" si="6"/>
        <v/>
      </c>
      <c r="AC25" s="95" t="str">
        <f>IF(AB25="","",VLOOKUP(AB25,'11. Lists'!$F$36:$H$38,2,FALSE))</f>
        <v/>
      </c>
      <c r="AD25" s="94" t="str">
        <f>IF(AB25="","",VLOOKUP(AB25,'11. Lists'!$F$36:$H$38,3,FALSE))</f>
        <v/>
      </c>
      <c r="AE25" s="298" t="str">
        <f t="shared" si="3"/>
        <v/>
      </c>
      <c r="AF25" s="299" t="str">
        <f t="shared" si="4"/>
        <v/>
      </c>
      <c r="AG25" s="96" t="str">
        <f t="shared" si="5"/>
        <v/>
      </c>
      <c r="AH25" s="511" t="str">
        <f>IF(T25="","",VLOOKUP(T25,'11. Lists'!$B$47:$D$49,3,FALSE))</f>
        <v/>
      </c>
      <c r="AI25" s="545" t="str">
        <f>IF(D25="","",VLOOKUP(D25,'10. Condition and Temporal'!$B$6:$L$103,4,FALSE))</f>
        <v/>
      </c>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row>
    <row r="26" spans="1:128" ht="15.6" x14ac:dyDescent="0.3">
      <c r="A26" s="25"/>
      <c r="B26" s="264">
        <v>16</v>
      </c>
      <c r="C26" s="259"/>
      <c r="D26" s="691"/>
      <c r="E26" s="692"/>
      <c r="F26" s="713"/>
      <c r="G26" s="714"/>
      <c r="H26" s="715"/>
      <c r="I26" s="305"/>
      <c r="J26" s="306"/>
      <c r="K26" s="307"/>
      <c r="L26" s="301" t="str">
        <f t="shared" si="0"/>
        <v/>
      </c>
      <c r="M26" s="301" t="str">
        <f t="shared" si="1"/>
        <v/>
      </c>
      <c r="N26" s="356" t="str">
        <f t="shared" si="2"/>
        <v/>
      </c>
      <c r="O26" s="69"/>
      <c r="P26" s="8"/>
      <c r="Q26" s="25"/>
      <c r="R26" s="741"/>
      <c r="S26" s="25"/>
      <c r="T26" s="787" t="str">
        <f>IF(C26="","",VLOOKUP(D26,'9. All Habitats + Multipliers'!$C$4:$K$102,5,FALSE))</f>
        <v/>
      </c>
      <c r="U26" s="788"/>
      <c r="V26" s="94" t="str">
        <f>IF(T26="","",VLOOKUP(T26,'11. Lists'!$B$47:$D$49,2,FALSE))</f>
        <v/>
      </c>
      <c r="W26" s="184" t="str">
        <f>IF(C26="","",VLOOKUP(D26,'10. Condition and Temporal'!$B$6:$C$103,2,FALSE))</f>
        <v/>
      </c>
      <c r="X26" s="94" t="str">
        <f>IF(W26="","",VLOOKUP(W26,'11. Lists'!$F$47:$G$51,2,FALSE))</f>
        <v/>
      </c>
      <c r="Y26" s="48"/>
      <c r="Z26" s="48"/>
      <c r="AA26" s="48"/>
      <c r="AB26" s="93" t="str">
        <f t="shared" si="6"/>
        <v/>
      </c>
      <c r="AC26" s="95" t="str">
        <f>IF(AB26="","",VLOOKUP(AB26,'11. Lists'!$F$36:$H$38,2,FALSE))</f>
        <v/>
      </c>
      <c r="AD26" s="94" t="str">
        <f>IF(AB26="","",VLOOKUP(AB26,'11. Lists'!$F$36:$H$38,3,FALSE))</f>
        <v/>
      </c>
      <c r="AE26" s="298" t="str">
        <f t="shared" si="3"/>
        <v/>
      </c>
      <c r="AF26" s="299" t="str">
        <f t="shared" si="4"/>
        <v/>
      </c>
      <c r="AG26" s="96" t="str">
        <f t="shared" si="5"/>
        <v/>
      </c>
      <c r="AH26" s="511" t="str">
        <f>IF(T26="","",VLOOKUP(T26,'11. Lists'!$B$47:$D$49,3,FALSE))</f>
        <v/>
      </c>
      <c r="AI26" s="545" t="str">
        <f>IF(D26="","",VLOOKUP(D26,'10. Condition and Temporal'!$B$6:$L$103,4,FALSE))</f>
        <v/>
      </c>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row>
    <row r="27" spans="1:128" ht="15.6" x14ac:dyDescent="0.3">
      <c r="A27" s="25"/>
      <c r="B27" s="264">
        <v>17</v>
      </c>
      <c r="C27" s="259"/>
      <c r="D27" s="691"/>
      <c r="E27" s="692"/>
      <c r="F27" s="713"/>
      <c r="G27" s="714"/>
      <c r="H27" s="715"/>
      <c r="I27" s="305"/>
      <c r="J27" s="306"/>
      <c r="K27" s="307"/>
      <c r="L27" s="301" t="str">
        <f t="shared" si="0"/>
        <v/>
      </c>
      <c r="M27" s="301" t="str">
        <f t="shared" si="1"/>
        <v/>
      </c>
      <c r="N27" s="356" t="str">
        <f t="shared" si="2"/>
        <v/>
      </c>
      <c r="O27" s="69"/>
      <c r="P27" s="8"/>
      <c r="Q27" s="25"/>
      <c r="R27" s="741"/>
      <c r="S27" s="25"/>
      <c r="T27" s="787" t="str">
        <f>IF(C27="","",VLOOKUP(D27,'9. All Habitats + Multipliers'!$C$4:$K$102,5,FALSE))</f>
        <v/>
      </c>
      <c r="U27" s="788"/>
      <c r="V27" s="94" t="str">
        <f>IF(T27="","",VLOOKUP(T27,'11. Lists'!$B$47:$D$49,2,FALSE))</f>
        <v/>
      </c>
      <c r="W27" s="184" t="str">
        <f>IF(C27="","",VLOOKUP(D27,'10. Condition and Temporal'!$B$6:$C$103,2,FALSE))</f>
        <v/>
      </c>
      <c r="X27" s="94" t="str">
        <f>IF(W27="","",VLOOKUP(W27,'11. Lists'!$F$47:$G$51,2,FALSE))</f>
        <v/>
      </c>
      <c r="Y27" s="48"/>
      <c r="Z27" s="48"/>
      <c r="AA27" s="48"/>
      <c r="AB27" s="93" t="str">
        <f t="shared" si="6"/>
        <v/>
      </c>
      <c r="AC27" s="95" t="str">
        <f>IF(AB27="","",VLOOKUP(AB27,'11. Lists'!$F$36:$H$38,2,FALSE))</f>
        <v/>
      </c>
      <c r="AD27" s="94" t="str">
        <f>IF(AB27="","",VLOOKUP(AB27,'11. Lists'!$F$36:$H$38,3,FALSE))</f>
        <v/>
      </c>
      <c r="AE27" s="298" t="str">
        <f t="shared" si="3"/>
        <v/>
      </c>
      <c r="AF27" s="299" t="str">
        <f t="shared" si="4"/>
        <v/>
      </c>
      <c r="AG27" s="96" t="str">
        <f t="shared" si="5"/>
        <v/>
      </c>
      <c r="AH27" s="511" t="str">
        <f>IF(T27="","",VLOOKUP(T27,'11. Lists'!$B$47:$D$49,3,FALSE))</f>
        <v/>
      </c>
      <c r="AI27" s="545" t="str">
        <f>IF(D27="","",VLOOKUP(D27,'10. Condition and Temporal'!$B$6:$L$103,4,FALSE))</f>
        <v/>
      </c>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row>
    <row r="28" spans="1:128" ht="15.6" x14ac:dyDescent="0.3">
      <c r="A28" s="25"/>
      <c r="B28" s="264">
        <v>18</v>
      </c>
      <c r="C28" s="259"/>
      <c r="D28" s="691"/>
      <c r="E28" s="692"/>
      <c r="F28" s="713"/>
      <c r="G28" s="714"/>
      <c r="H28" s="715"/>
      <c r="I28" s="305"/>
      <c r="J28" s="306"/>
      <c r="K28" s="307"/>
      <c r="L28" s="301" t="str">
        <f t="shared" si="0"/>
        <v/>
      </c>
      <c r="M28" s="301" t="str">
        <f t="shared" si="1"/>
        <v/>
      </c>
      <c r="N28" s="356" t="str">
        <f t="shared" si="2"/>
        <v/>
      </c>
      <c r="O28" s="69"/>
      <c r="P28" s="8"/>
      <c r="Q28" s="25"/>
      <c r="R28" s="741"/>
      <c r="S28" s="25"/>
      <c r="T28" s="787" t="str">
        <f>IF(C28="","",VLOOKUP(D28,'9. All Habitats + Multipliers'!$C$4:$K$102,5,FALSE))</f>
        <v/>
      </c>
      <c r="U28" s="788"/>
      <c r="V28" s="94" t="str">
        <f>IF(T28="","",VLOOKUP(T28,'11. Lists'!$B$47:$D$49,2,FALSE))</f>
        <v/>
      </c>
      <c r="W28" s="184" t="str">
        <f>IF(C28="","",VLOOKUP(D28,'10. Condition and Temporal'!$B$6:$C$103,2,FALSE))</f>
        <v/>
      </c>
      <c r="X28" s="94" t="str">
        <f>IF(W28="","",VLOOKUP(W28,'11. Lists'!$F$47:$G$51,2,FALSE))</f>
        <v/>
      </c>
      <c r="Y28" s="48"/>
      <c r="Z28" s="48"/>
      <c r="AA28" s="48"/>
      <c r="AB28" s="93" t="str">
        <f t="shared" si="6"/>
        <v/>
      </c>
      <c r="AC28" s="95" t="str">
        <f>IF(AB28="","",VLOOKUP(AB28,'11. Lists'!$F$36:$H$38,2,FALSE))</f>
        <v/>
      </c>
      <c r="AD28" s="94" t="str">
        <f>IF(AB28="","",VLOOKUP(AB28,'11. Lists'!$F$36:$H$38,3,FALSE))</f>
        <v/>
      </c>
      <c r="AE28" s="298" t="str">
        <f t="shared" si="3"/>
        <v/>
      </c>
      <c r="AF28" s="299" t="str">
        <f t="shared" si="4"/>
        <v/>
      </c>
      <c r="AG28" s="96" t="str">
        <f t="shared" si="5"/>
        <v/>
      </c>
      <c r="AH28" s="511" t="str">
        <f>IF(T28="","",VLOOKUP(T28,'11. Lists'!$B$47:$D$49,3,FALSE))</f>
        <v/>
      </c>
      <c r="AI28" s="545" t="str">
        <f>IF(D28="","",VLOOKUP(D28,'10. Condition and Temporal'!$B$6:$L$103,4,FALSE))</f>
        <v/>
      </c>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row>
    <row r="29" spans="1:128" ht="15.6" x14ac:dyDescent="0.3">
      <c r="A29" s="25"/>
      <c r="B29" s="264">
        <v>19</v>
      </c>
      <c r="C29" s="259"/>
      <c r="D29" s="691"/>
      <c r="E29" s="692"/>
      <c r="F29" s="713"/>
      <c r="G29" s="714"/>
      <c r="H29" s="715"/>
      <c r="I29" s="305"/>
      <c r="J29" s="306"/>
      <c r="K29" s="307"/>
      <c r="L29" s="301" t="str">
        <f t="shared" si="0"/>
        <v/>
      </c>
      <c r="M29" s="301" t="str">
        <f t="shared" si="1"/>
        <v/>
      </c>
      <c r="N29" s="356" t="str">
        <f t="shared" si="2"/>
        <v/>
      </c>
      <c r="O29" s="69"/>
      <c r="P29" s="8"/>
      <c r="Q29" s="25"/>
      <c r="R29" s="741"/>
      <c r="S29" s="25"/>
      <c r="T29" s="787" t="str">
        <f>IF(C29="","",VLOOKUP(D29,'9. All Habitats + Multipliers'!$C$4:$K$102,5,FALSE))</f>
        <v/>
      </c>
      <c r="U29" s="788"/>
      <c r="V29" s="94" t="str">
        <f>IF(T29="","",VLOOKUP(T29,'11. Lists'!$B$47:$D$49,2,FALSE))</f>
        <v/>
      </c>
      <c r="W29" s="184" t="str">
        <f>IF(C29="","",VLOOKUP(D29,'10. Condition and Temporal'!$B$6:$C$103,2,FALSE))</f>
        <v/>
      </c>
      <c r="X29" s="94" t="str">
        <f>IF(W29="","",VLOOKUP(W29,'11. Lists'!$F$47:$G$51,2,FALSE))</f>
        <v/>
      </c>
      <c r="Y29" s="48"/>
      <c r="Z29" s="48"/>
      <c r="AA29" s="48"/>
      <c r="AB29" s="93" t="str">
        <f t="shared" si="6"/>
        <v/>
      </c>
      <c r="AC29" s="95" t="str">
        <f>IF(AB29="","",VLOOKUP(AB29,'11. Lists'!$F$36:$H$38,2,FALSE))</f>
        <v/>
      </c>
      <c r="AD29" s="94" t="str">
        <f>IF(AB29="","",VLOOKUP(AB29,'11. Lists'!$F$36:$H$38,3,FALSE))</f>
        <v/>
      </c>
      <c r="AE29" s="298" t="str">
        <f t="shared" si="3"/>
        <v/>
      </c>
      <c r="AF29" s="299" t="str">
        <f t="shared" si="4"/>
        <v/>
      </c>
      <c r="AG29" s="96" t="str">
        <f t="shared" si="5"/>
        <v/>
      </c>
      <c r="AH29" s="511" t="str">
        <f>IF(T29="","",VLOOKUP(T29,'11. Lists'!$B$47:$D$49,3,FALSE))</f>
        <v/>
      </c>
      <c r="AI29" s="545" t="str">
        <f>IF(D29="","",VLOOKUP(D29,'10. Condition and Temporal'!$B$6:$L$103,4,FALSE))</f>
        <v/>
      </c>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row>
    <row r="30" spans="1:128" ht="16.2" thickBot="1" x14ac:dyDescent="0.35">
      <c r="A30" s="25"/>
      <c r="B30" s="265">
        <v>20</v>
      </c>
      <c r="C30" s="258"/>
      <c r="D30" s="716"/>
      <c r="E30" s="717"/>
      <c r="F30" s="713"/>
      <c r="G30" s="714"/>
      <c r="H30" s="715"/>
      <c r="I30" s="305"/>
      <c r="J30" s="306"/>
      <c r="K30" s="307"/>
      <c r="L30" s="410" t="str">
        <f t="shared" si="0"/>
        <v/>
      </c>
      <c r="M30" s="410" t="str">
        <f t="shared" si="1"/>
        <v/>
      </c>
      <c r="N30" s="411" t="str">
        <f t="shared" si="2"/>
        <v/>
      </c>
      <c r="O30" s="70"/>
      <c r="P30" s="4"/>
      <c r="Q30" s="25"/>
      <c r="R30" s="741"/>
      <c r="S30" s="25"/>
      <c r="T30" s="787" t="str">
        <f>IF(C30="","",VLOOKUP(D30,'9. All Habitats + Multipliers'!$C$4:$K$102,5,FALSE))</f>
        <v/>
      </c>
      <c r="U30" s="788"/>
      <c r="V30" s="94" t="str">
        <f>IF(T30="","",VLOOKUP(T30,'11. Lists'!$B$47:$D$49,2,FALSE))</f>
        <v/>
      </c>
      <c r="W30" s="184" t="str">
        <f>IF(C30="","",VLOOKUP(D30,'10. Condition and Temporal'!$B$6:$C$103,2,FALSE))</f>
        <v/>
      </c>
      <c r="X30" s="94" t="str">
        <f>IF(W30="","",VLOOKUP(W30,'11. Lists'!$F$47:$G$51,2,FALSE))</f>
        <v/>
      </c>
      <c r="Y30" s="48"/>
      <c r="Z30" s="48"/>
      <c r="AA30" s="48"/>
      <c r="AB30" s="93" t="str">
        <f t="shared" si="6"/>
        <v/>
      </c>
      <c r="AC30" s="95" t="str">
        <f>IF(AB30="","",VLOOKUP(AB30,'11. Lists'!$F$36:$H$38,2,FALSE))</f>
        <v/>
      </c>
      <c r="AD30" s="94" t="str">
        <f>IF(AB30="","",VLOOKUP(AB30,'11. Lists'!$F$36:$H$38,3,FALSE))</f>
        <v/>
      </c>
      <c r="AE30" s="298" t="str">
        <f t="shared" si="3"/>
        <v/>
      </c>
      <c r="AF30" s="299" t="str">
        <f t="shared" si="4"/>
        <v/>
      </c>
      <c r="AG30" s="96" t="str">
        <f t="shared" si="5"/>
        <v/>
      </c>
      <c r="AH30" s="511" t="str">
        <f>IF(T30="","",VLOOKUP(T30,'11. Lists'!$B$47:$D$49,3,FALSE))</f>
        <v/>
      </c>
      <c r="AI30" s="545" t="str">
        <f>IF(D30="","",VLOOKUP(D30,'10. Condition and Temporal'!$B$6:$L$103,4,FALSE))</f>
        <v/>
      </c>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row>
    <row r="31" spans="1:128" ht="29.4" thickBot="1" x14ac:dyDescent="0.35">
      <c r="A31" s="25"/>
      <c r="B31" s="265" t="s">
        <v>89</v>
      </c>
      <c r="C31" s="97" t="s">
        <v>90</v>
      </c>
      <c r="D31" s="711" t="s">
        <v>91</v>
      </c>
      <c r="E31" s="712"/>
      <c r="F31" s="779" t="s">
        <v>92</v>
      </c>
      <c r="G31" s="780"/>
      <c r="H31" s="781"/>
      <c r="I31" s="324">
        <f>I99</f>
        <v>0</v>
      </c>
      <c r="J31" s="325">
        <f>L99</f>
        <v>0</v>
      </c>
      <c r="K31" s="426"/>
      <c r="L31" s="405">
        <f>IF(C31="","",((I31/10000)*V31*X31)*AD31)</f>
        <v>0</v>
      </c>
      <c r="M31" s="412">
        <f>IF(C31="","",I31-J31-K31)</f>
        <v>0</v>
      </c>
      <c r="N31" s="413">
        <f>IF(C31="","",((M31/10000)*V31*X31)*AD31)</f>
        <v>0</v>
      </c>
      <c r="O31" s="13"/>
      <c r="P31" s="14"/>
      <c r="Q31" s="25"/>
      <c r="R31" s="741"/>
      <c r="S31" s="25"/>
      <c r="T31" s="842" t="str">
        <f>IF(C31="","",VLOOKUP(D31,'9. All Habitats + Multipliers'!$C$4:$K$102,5,FALSE))</f>
        <v>Medium</v>
      </c>
      <c r="U31" s="843"/>
      <c r="V31" s="99">
        <f>IF(T31="","",VLOOKUP(T31,'11. Lists'!$B$47:$D$49,2,FALSE))</f>
        <v>4</v>
      </c>
      <c r="W31" s="345" t="str">
        <f>IF(C31="","",VLOOKUP(D31,'10. Condition and Temporal'!$B$6:$C$103,2,FALSE))</f>
        <v>Moderate</v>
      </c>
      <c r="X31" s="99">
        <f>IF(W31="","",VLOOKUP(W31,'11. Lists'!$F$47:$G$51,2,FALSE))</f>
        <v>2</v>
      </c>
      <c r="Y31" s="48"/>
      <c r="Z31" s="48"/>
      <c r="AA31" s="48"/>
      <c r="AB31" s="98" t="str">
        <f>IF(F31="","",F31)</f>
        <v>Formally identified in local strategy</v>
      </c>
      <c r="AC31" s="100" t="str">
        <f>IF(AB31="","",VLOOKUP(AB31,'11. Lists'!$F$36:$H$38,2,FALSE))</f>
        <v xml:space="preserve">High strategic significance </v>
      </c>
      <c r="AD31" s="99">
        <f>IF(AB31="","",VLOOKUP(AB31,'11. Lists'!$F$36:$H$38,3,FALSE))</f>
        <v>1.1499999999999999</v>
      </c>
      <c r="AE31" s="544">
        <f>IF(D31="","",((J31/10000)*V31*X31)*(AD31))</f>
        <v>0</v>
      </c>
      <c r="AF31" s="101">
        <f>IF(D31="","",((K31/10000)*V31*X31)*(AD31))</f>
        <v>0</v>
      </c>
      <c r="AG31" s="102">
        <f t="shared" si="5"/>
        <v>0</v>
      </c>
      <c r="AH31" s="512" t="str">
        <f>IF(T31="","",VLOOKUP(T31,'11. Lists'!$B$47:$D$49,3,FALSE))</f>
        <v>Same broad habitat or a higher distinctiveness habitat required</v>
      </c>
      <c r="AI31" s="545" t="str">
        <f>IF(D31="","",VLOOKUP(D31,'10. Condition and Temporal'!$B$6:$L$103,4,FALSE))</f>
        <v>Urban/rural tree</v>
      </c>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row>
    <row r="32" spans="1:128" s="25" customFormat="1" ht="15" thickBot="1" x14ac:dyDescent="0.35">
      <c r="D32" s="89"/>
      <c r="E32" s="103"/>
      <c r="F32" s="103"/>
      <c r="G32" s="103"/>
      <c r="H32" s="499" t="s">
        <v>93</v>
      </c>
      <c r="I32" s="326">
        <f>SUMIFS(I11:I30,D11:D30,"&lt;&gt;"&amp;'11. Lists'!Q10,D11:D30,"&lt;&gt;"&amp;'11. Lists'!Q11,D11:D30,"&lt;&gt;"&amp;'11. Lists'!I4,D11:D30,"&lt;&gt;"&amp;'11. Lists'!I2,D11:D30,"&lt;&gt;"&amp;'11. Lists'!I3)</f>
        <v>5179.3</v>
      </c>
      <c r="J32" s="327">
        <f>SUMIFS(J11:J30,D11:D30,"&lt;&gt;"&amp;'11. Lists'!Q10,D11:D30,"&lt;&gt;"&amp;'11. Lists'!Q11,D11:D30,"&lt;&gt;"&amp;'11. Lists'!I4,D11:D30,"&lt;&gt;"&amp;'11. Lists'!I2,D11:D30,"&lt;&gt;"&amp;'11. Lists'!I3)</f>
        <v>3676.6000000000004</v>
      </c>
      <c r="K32" s="328">
        <f>SUMIFS(K11:K30,D11:D30,"&lt;&gt;"&amp;'11. Lists'!Q10,D11:D30,"&lt;&gt;"&amp;'11. Lists'!Q11,D11:D30,"&lt;&gt;"&amp;'11. Lists'!I4,D11:D30,"&lt;&gt;"&amp;'11. Lists'!I2,D11:D30,"&lt;&gt;"&amp;'11. Lists'!I3)</f>
        <v>898.7</v>
      </c>
      <c r="L32" s="279">
        <f>SUM(L11:L31)</f>
        <v>1.2971600000000001</v>
      </c>
      <c r="M32" s="319">
        <f>SUMIFS(M11:M30,D11:D30,"&lt;&gt;"&amp;'11. Lists'!Q10,D11:D30,"&lt;&gt;"&amp;'11. Lists'!Q11,D11:D30,"&lt;&gt;"&amp;'11. Lists'!I4,D11:D30,"&lt;&gt;"&amp;'11. Lists'!I2,D11:D30,"&lt;&gt;"&amp;'11. Lists'!I3)</f>
        <v>604</v>
      </c>
      <c r="N32" s="280">
        <f>SUM(N11:N31)</f>
        <v>0.24159999999999998</v>
      </c>
      <c r="R32" s="741"/>
    </row>
    <row r="33" spans="2:34" s="25" customFormat="1" x14ac:dyDescent="0.3">
      <c r="D33" s="89"/>
      <c r="E33" s="103"/>
      <c r="F33" s="103"/>
      <c r="G33" s="103"/>
      <c r="H33" s="281" t="s">
        <v>94</v>
      </c>
      <c r="I33" s="789" t="str">
        <f>IF(I32=0, "Areas Acceptable ✓", IF(AND('3. Desktop Assessment'!C6="Residential", I32&lt;10000, '3. Desktop Assessment'!C9="Between 1 - 9 dwellings"),"Areas Acceptable ✓", IF(AND('3. Desktop Assessment'!C6="Residential", I32&lt;5000, '3. Desktop Assessment'!C9="Unknown number"), "Areas Acceptable ✓", IF(AND('3. Desktop Assessment'!C6="Commercial", I32&lt;10000, '3. Desktop Assessment'!C8&lt;1000),"Areas Acceptable ✓", IF(AND('3. Desktop Assessment'!C6="Mixed", I32&lt;10000, '3. Desktop Assessment'!C9="Between 1 - 9 dwellings",  '3. Desktop Assessment'!C8&lt;1000),"Areas Acceptable ✓", IF(AND('3. Desktop Assessment'!C6="Mixed", I32&lt;5000, '3. Desktop Assessment'!C9="Unknown number",  '3. Desktop Assessment'!C8&lt;1000), "Areas Acceptable ✓", IF(AND('3. Desktop Assessment'!C6="Other", I32&lt;10000),"Areas Acceptable ✓", "Error - Site exceeds areas appropriate for the small sites metric ▲")))))))</f>
        <v>Areas Acceptable ✓</v>
      </c>
      <c r="J33" s="789"/>
      <c r="K33" s="789"/>
      <c r="L33" s="789"/>
      <c r="M33" s="789"/>
      <c r="N33" s="790"/>
      <c r="O33" s="157">
        <f>IFERROR(FIND("Error",I33),0)</f>
        <v>0</v>
      </c>
      <c r="R33" s="104"/>
    </row>
    <row r="34" spans="2:34" s="25" customFormat="1" x14ac:dyDescent="0.3">
      <c r="D34" s="89"/>
      <c r="E34" s="103"/>
      <c r="F34" s="103"/>
      <c r="G34" s="103"/>
      <c r="H34" s="282" t="s">
        <v>95</v>
      </c>
      <c r="I34" s="791" t="str">
        <f>IF(I32&lt;J32+K32,"Error - Areas Retained and Enhanced Exceed Total Area ▲","Areas Acceptable ✓")</f>
        <v>Areas Acceptable ✓</v>
      </c>
      <c r="J34" s="791"/>
      <c r="K34" s="791"/>
      <c r="L34" s="791"/>
      <c r="M34" s="791"/>
      <c r="N34" s="792"/>
      <c r="O34" s="157">
        <f>IFERROR(FIND("Error",I34),0)</f>
        <v>0</v>
      </c>
      <c r="R34" s="104"/>
    </row>
    <row r="35" spans="2:34" s="25" customFormat="1" ht="15" thickBot="1" x14ac:dyDescent="0.35">
      <c r="D35" s="89"/>
      <c r="E35" s="103"/>
      <c r="F35" s="103"/>
      <c r="G35" s="103"/>
      <c r="H35" s="272" t="s">
        <v>96</v>
      </c>
      <c r="I35" s="801" t="str">
        <f>IF(I32=0,"Areas Acceptable ✓",IF(I32&lt;&gt;'3. Desktop Assessment'!C7,"Error - Areas Entered Does Not Match Stated Site Area ▲","Areas Acceptable ✓"))</f>
        <v>Areas Acceptable ✓</v>
      </c>
      <c r="J35" s="801"/>
      <c r="K35" s="801"/>
      <c r="L35" s="801"/>
      <c r="M35" s="801"/>
      <c r="N35" s="802"/>
      <c r="O35" s="157">
        <f>IFERROR(FIND("Error",I35),0)</f>
        <v>0</v>
      </c>
      <c r="R35" s="741" t="s">
        <v>52</v>
      </c>
    </row>
    <row r="36" spans="2:34" s="25" customFormat="1" ht="21" x14ac:dyDescent="0.4">
      <c r="B36" s="57" t="s">
        <v>97</v>
      </c>
      <c r="D36" s="88"/>
      <c r="E36" s="103"/>
      <c r="F36" s="103"/>
      <c r="G36" s="103"/>
      <c r="I36" s="26"/>
      <c r="O36" s="157">
        <f>COUNTIF(L11:N30,"*"&amp;"error"&amp;"*")</f>
        <v>0</v>
      </c>
      <c r="R36" s="741"/>
    </row>
    <row r="37" spans="2:34" s="25" customFormat="1" ht="15.75" customHeight="1" thickBot="1" x14ac:dyDescent="0.35">
      <c r="R37" s="741"/>
    </row>
    <row r="38" spans="2:34" s="25" customFormat="1" ht="16.2" customHeight="1" x14ac:dyDescent="0.3">
      <c r="B38" s="719" t="s">
        <v>46</v>
      </c>
      <c r="C38" s="718"/>
      <c r="D38" s="768"/>
      <c r="E38" s="708" t="s">
        <v>98</v>
      </c>
      <c r="F38" s="709"/>
      <c r="G38" s="710"/>
      <c r="H38" s="709" t="s">
        <v>99</v>
      </c>
      <c r="I38" s="654" t="s">
        <v>100</v>
      </c>
      <c r="J38" s="782"/>
      <c r="K38" s="655"/>
      <c r="L38" s="767" t="s">
        <v>101</v>
      </c>
      <c r="M38" s="718"/>
      <c r="N38" s="768"/>
      <c r="O38" s="708" t="s">
        <v>65</v>
      </c>
      <c r="P38" s="710"/>
      <c r="R38" s="741"/>
      <c r="T38" s="684" t="s">
        <v>66</v>
      </c>
      <c r="U38" s="685"/>
      <c r="V38" s="686"/>
      <c r="W38" s="799" t="s">
        <v>67</v>
      </c>
      <c r="X38" s="686"/>
      <c r="Y38" s="800"/>
      <c r="Z38" s="800"/>
      <c r="AA38" s="800"/>
      <c r="AB38" s="684" t="s">
        <v>68</v>
      </c>
      <c r="AC38" s="685"/>
      <c r="AD38" s="686"/>
      <c r="AE38" s="684" t="s">
        <v>102</v>
      </c>
      <c r="AF38" s="686"/>
      <c r="AG38" s="684" t="s">
        <v>103</v>
      </c>
      <c r="AH38" s="686"/>
    </row>
    <row r="39" spans="2:34" s="25" customFormat="1" ht="31.8" thickBot="1" x14ac:dyDescent="0.35">
      <c r="B39" s="667"/>
      <c r="C39" s="197" t="s">
        <v>72</v>
      </c>
      <c r="D39" s="198" t="s">
        <v>104</v>
      </c>
      <c r="E39" s="86" t="s">
        <v>105</v>
      </c>
      <c r="F39" s="670" t="s">
        <v>106</v>
      </c>
      <c r="G39" s="679"/>
      <c r="H39" s="668"/>
      <c r="I39" s="656"/>
      <c r="J39" s="783"/>
      <c r="K39" s="657"/>
      <c r="L39" s="669"/>
      <c r="M39" s="769"/>
      <c r="N39" s="670"/>
      <c r="O39" s="86" t="s">
        <v>80</v>
      </c>
      <c r="P39" s="90" t="s">
        <v>81</v>
      </c>
      <c r="R39" s="741"/>
      <c r="T39" s="785" t="s">
        <v>82</v>
      </c>
      <c r="U39" s="786"/>
      <c r="V39" s="92" t="s">
        <v>83</v>
      </c>
      <c r="W39" s="334" t="s">
        <v>84</v>
      </c>
      <c r="X39" s="92" t="s">
        <v>83</v>
      </c>
      <c r="Y39" s="346"/>
      <c r="Z39" s="346"/>
      <c r="AA39" s="346"/>
      <c r="AB39" s="91" t="s">
        <v>68</v>
      </c>
      <c r="AC39" s="49" t="s">
        <v>68</v>
      </c>
      <c r="AD39" s="92" t="s">
        <v>85</v>
      </c>
      <c r="AE39" s="91" t="s">
        <v>107</v>
      </c>
      <c r="AF39" s="92" t="s">
        <v>108</v>
      </c>
      <c r="AG39" s="91" t="s">
        <v>109</v>
      </c>
      <c r="AH39" s="92" t="s">
        <v>110</v>
      </c>
    </row>
    <row r="40" spans="2:34" s="25" customFormat="1" ht="28.8" x14ac:dyDescent="0.3">
      <c r="B40" s="263">
        <v>1</v>
      </c>
      <c r="C40" s="76" t="s">
        <v>209</v>
      </c>
      <c r="D40" s="73" t="s">
        <v>333</v>
      </c>
      <c r="E40" s="342" t="str">
        <f>IF(D40="","",VLOOKUP(D40,'10. Condition and Temporal'!$B$6:$D$103,3,FALSE))</f>
        <v>N/A - Other</v>
      </c>
      <c r="F40" s="722" t="s">
        <v>386</v>
      </c>
      <c r="G40" s="723"/>
      <c r="H40" s="72" t="s">
        <v>112</v>
      </c>
      <c r="I40" s="724">
        <v>604</v>
      </c>
      <c r="J40" s="725"/>
      <c r="K40" s="726"/>
      <c r="L40" s="733">
        <f>IF(C40="","",IFERROR(IF(I40="","",((I40/10000)*(V40*X40))*(AH40*AF40)*AD40),"This intervention is not permitted within the SSM ▲"))</f>
        <v>0</v>
      </c>
      <c r="M40" s="697"/>
      <c r="N40" s="734"/>
      <c r="O40" s="2" t="s">
        <v>1066</v>
      </c>
      <c r="P40" s="1"/>
      <c r="Q40" s="106"/>
      <c r="R40" s="741"/>
      <c r="T40" s="787" t="str">
        <f>IF(C40="","",VLOOKUP(D40,'9. All Habitats + Multipliers'!$C$4:$K$102,5,FALSE))</f>
        <v>V.Low</v>
      </c>
      <c r="U40" s="788"/>
      <c r="V40" s="94">
        <f>IF(T40="","",VLOOKUP(T40,'11. Lists'!$B$47:$D$49,2,FALSE))</f>
        <v>0</v>
      </c>
      <c r="W40" s="184" t="str">
        <f>IF(F40="","",F40)</f>
        <v>N/A - Other</v>
      </c>
      <c r="X40" s="94">
        <f>IF(W40="","",VLOOKUP(W40,'11. Lists'!$F$47:$G$51,2,FALSE))</f>
        <v>0</v>
      </c>
      <c r="Y40" s="48"/>
      <c r="Z40" s="48"/>
      <c r="AA40" s="48"/>
      <c r="AB40" s="93" t="str">
        <f>IF(H40="","",H40)</f>
        <v>Area/compensation not in local strategy/ no local strategy</v>
      </c>
      <c r="AC40" s="95" t="str">
        <f>IF(AB40="","",VLOOKUP(AB40,'11. Lists'!$F$36:$H$38,2,FALSE))</f>
        <v>Low Strategic Significance</v>
      </c>
      <c r="AD40" s="94">
        <f>IF(AB40="","",VLOOKUP(AB40,'11. Lists'!$F$36:$H$38,3,FALSE))</f>
        <v>1</v>
      </c>
      <c r="AE40" s="93">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0</v>
      </c>
      <c r="AF40" s="107">
        <f>IF(AE40="","",VLOOKUP(AE40,'11. Lists'!$I$47:$K$80,3,FALSE))</f>
        <v>1</v>
      </c>
      <c r="AG40" s="93" t="str">
        <f>IF(D40="","",VLOOKUP(D40,'9. All Habitats + Multipliers'!$C$4:$K$102,7,FALSE))</f>
        <v>Low</v>
      </c>
      <c r="AH40" s="94">
        <f>IF(AG40="","",VLOOKUP(AG40,'11. Lists'!$J$35:$K$38,2,FALSE))</f>
        <v>1</v>
      </c>
    </row>
    <row r="41" spans="2:34" s="25" customFormat="1" ht="15.6" x14ac:dyDescent="0.3">
      <c r="B41" s="264">
        <v>2</v>
      </c>
      <c r="C41" s="77"/>
      <c r="D41" s="73"/>
      <c r="E41" s="342" t="str">
        <f>IF(D41="","",VLOOKUP(D41,'10. Condition and Temporal'!$B$6:$D$103,3,FALSE))</f>
        <v/>
      </c>
      <c r="F41" s="702"/>
      <c r="G41" s="703"/>
      <c r="H41" s="71"/>
      <c r="I41" s="724"/>
      <c r="J41" s="725"/>
      <c r="K41" s="726"/>
      <c r="L41" s="733" t="str">
        <f t="shared" ref="L41:L59" si="7">IF(C41="","",IFERROR(IF(I41="","",((I41/10000)*(V41*X41))*(AH41*AF41)*AD41),"This intervention is not permitted within the SSM ▲"))</f>
        <v/>
      </c>
      <c r="M41" s="697"/>
      <c r="N41" s="734"/>
      <c r="O41" s="61"/>
      <c r="P41" s="12"/>
      <c r="Q41" s="106"/>
      <c r="R41" s="741"/>
      <c r="T41" s="787" t="str">
        <f>IF(C41="","",VLOOKUP(D41,'9. All Habitats + Multipliers'!$C$4:$K$102,5,FALSE))</f>
        <v/>
      </c>
      <c r="U41" s="788"/>
      <c r="V41" s="94" t="str">
        <f>IF(T41="","",VLOOKUP(T41,'11. Lists'!$B$47:$D$49,2,FALSE))</f>
        <v/>
      </c>
      <c r="W41" s="184" t="str">
        <f>IF(F41="","",F41)</f>
        <v/>
      </c>
      <c r="X41" s="94" t="str">
        <f>IF(W41="","",VLOOKUP(W41,'11. Lists'!$F$47:$G$51,2,FALSE))</f>
        <v/>
      </c>
      <c r="Y41" s="48"/>
      <c r="Z41" s="48"/>
      <c r="AA41" s="48"/>
      <c r="AB41" s="93" t="str">
        <f t="shared" ref="AB41:AB60" si="8">IF(H41="","",H41)</f>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row>
    <row r="42" spans="2:34" s="25" customFormat="1" ht="15.6" x14ac:dyDescent="0.3">
      <c r="B42" s="264">
        <v>3</v>
      </c>
      <c r="C42" s="77"/>
      <c r="D42" s="73"/>
      <c r="E42" s="342" t="str">
        <f>IF(D42="","",VLOOKUP(D42,'10. Condition and Temporal'!$B$6:$D$103,3,FALSE))</f>
        <v/>
      </c>
      <c r="F42" s="702"/>
      <c r="G42" s="703"/>
      <c r="H42" s="71"/>
      <c r="I42" s="724"/>
      <c r="J42" s="725"/>
      <c r="K42" s="726"/>
      <c r="L42" s="733" t="str">
        <f t="shared" si="7"/>
        <v/>
      </c>
      <c r="M42" s="697"/>
      <c r="N42" s="734"/>
      <c r="O42" s="61"/>
      <c r="P42" s="12"/>
      <c r="Q42" s="106"/>
      <c r="R42" s="741"/>
      <c r="T42" s="787" t="str">
        <f>IF(C42="","",VLOOKUP(D42,'9. All Habitats + Multipliers'!$C$4:$K$102,5,FALSE))</f>
        <v/>
      </c>
      <c r="U42" s="788"/>
      <c r="V42" s="94" t="str">
        <f>IF(T42="","",VLOOKUP(T42,'11. Lists'!$B$47:$D$49,2,FALSE))</f>
        <v/>
      </c>
      <c r="W42" s="184" t="str">
        <f>IF(F42="","",F42)</f>
        <v/>
      </c>
      <c r="X42" s="94" t="str">
        <f>IF(W42="","",VLOOKUP(W42,'11. Lists'!$F$47:$G$51,2,FALSE))</f>
        <v/>
      </c>
      <c r="Y42" s="48"/>
      <c r="Z42" s="48"/>
      <c r="AA42" s="48"/>
      <c r="AB42" s="93" t="str">
        <f t="shared" si="8"/>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row>
    <row r="43" spans="2:34" s="25" customFormat="1" ht="15.6" x14ac:dyDescent="0.3">
      <c r="B43" s="264">
        <v>4</v>
      </c>
      <c r="C43" s="77"/>
      <c r="D43" s="73"/>
      <c r="E43" s="342" t="str">
        <f>IF(D43="","",VLOOKUP(D43,'10. Condition and Temporal'!$B$6:$D$103,3,FALSE))</f>
        <v/>
      </c>
      <c r="F43" s="702"/>
      <c r="G43" s="703"/>
      <c r="H43" s="71"/>
      <c r="I43" s="724"/>
      <c r="J43" s="725"/>
      <c r="K43" s="726"/>
      <c r="L43" s="733" t="str">
        <f t="shared" si="7"/>
        <v/>
      </c>
      <c r="M43" s="697"/>
      <c r="N43" s="734"/>
      <c r="O43" s="61"/>
      <c r="P43" s="12"/>
      <c r="Q43" s="106"/>
      <c r="R43" s="741"/>
      <c r="T43" s="787" t="str">
        <f>IF(C43="","",VLOOKUP(D43,'9. All Habitats + Multipliers'!$C$4:$K$102,5,FALSE))</f>
        <v/>
      </c>
      <c r="U43" s="788"/>
      <c r="V43" s="94" t="str">
        <f>IF(T43="","",VLOOKUP(T43,'11. Lists'!$B$47:$D$49,2,FALSE))</f>
        <v/>
      </c>
      <c r="W43" s="184" t="str">
        <f>IF(F43="","",F43)</f>
        <v/>
      </c>
      <c r="X43" s="94" t="str">
        <f>IF(W43="","",VLOOKUP(W43,'11. Lists'!$F$47:$G$51,2,FALSE))</f>
        <v/>
      </c>
      <c r="Y43" s="48"/>
      <c r="Z43" s="48"/>
      <c r="AA43" s="48"/>
      <c r="AB43" s="93" t="str">
        <f t="shared" si="8"/>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row>
    <row r="44" spans="2:34" s="25" customFormat="1" ht="15.6" x14ac:dyDescent="0.3">
      <c r="B44" s="264">
        <v>5</v>
      </c>
      <c r="C44" s="77"/>
      <c r="D44" s="73"/>
      <c r="E44" s="342" t="str">
        <f>IF(D44="","",VLOOKUP(D44,'10. Condition and Temporal'!$B$6:$D$103,3,FALSE))</f>
        <v/>
      </c>
      <c r="F44" s="702"/>
      <c r="G44" s="703"/>
      <c r="H44" s="71"/>
      <c r="I44" s="724"/>
      <c r="J44" s="725"/>
      <c r="K44" s="726"/>
      <c r="L44" s="733" t="str">
        <f t="shared" si="7"/>
        <v/>
      </c>
      <c r="M44" s="697"/>
      <c r="N44" s="734"/>
      <c r="O44" s="61"/>
      <c r="P44" s="12"/>
      <c r="R44" s="741"/>
      <c r="T44" s="787" t="str">
        <f>IF(C44="","",VLOOKUP(D44,'9. All Habitats + Multipliers'!$C$4:$K$102,5,FALSE))</f>
        <v/>
      </c>
      <c r="U44" s="788"/>
      <c r="V44" s="94" t="str">
        <f>IF(T44="","",VLOOKUP(T44,'11. Lists'!$B$47:$D$49,2,FALSE))</f>
        <v/>
      </c>
      <c r="W44" s="184" t="str">
        <f t="shared" ref="W44:W59" si="9">IF(F44="","",F44)</f>
        <v/>
      </c>
      <c r="X44" s="94" t="str">
        <f>IF(W44="","",VLOOKUP(W44,'11. Lists'!$F$47:$G$51,2,FALSE))</f>
        <v/>
      </c>
      <c r="Y44" s="48"/>
      <c r="Z44" s="48"/>
      <c r="AA44" s="48"/>
      <c r="AB44" s="93" t="str">
        <f t="shared" si="8"/>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row>
    <row r="45" spans="2:34" s="25" customFormat="1" ht="15.6" x14ac:dyDescent="0.3">
      <c r="B45" s="264">
        <v>6</v>
      </c>
      <c r="C45" s="77"/>
      <c r="D45" s="73"/>
      <c r="E45" s="342" t="str">
        <f>IF(D45="","",VLOOKUP(D45,'10. Condition and Temporal'!$B$6:$D$103,3,FALSE))</f>
        <v/>
      </c>
      <c r="F45" s="702"/>
      <c r="G45" s="703"/>
      <c r="H45" s="71"/>
      <c r="I45" s="724"/>
      <c r="J45" s="725"/>
      <c r="K45" s="726"/>
      <c r="L45" s="733" t="str">
        <f t="shared" si="7"/>
        <v/>
      </c>
      <c r="M45" s="697"/>
      <c r="N45" s="734"/>
      <c r="O45" s="61"/>
      <c r="P45" s="12"/>
      <c r="R45" s="741"/>
      <c r="T45" s="787" t="str">
        <f>IF(C45="","",VLOOKUP(D45,'9. All Habitats + Multipliers'!$C$4:$K$102,5,FALSE))</f>
        <v/>
      </c>
      <c r="U45" s="788"/>
      <c r="V45" s="94" t="str">
        <f>IF(T45="","",VLOOKUP(T45,'11. Lists'!$B$47:$D$49,2,FALSE))</f>
        <v/>
      </c>
      <c r="W45" s="184" t="str">
        <f t="shared" si="9"/>
        <v/>
      </c>
      <c r="X45" s="94" t="str">
        <f>IF(W45="","",VLOOKUP(W45,'11. Lists'!$F$47:$G$51,2,FALSE))</f>
        <v/>
      </c>
      <c r="Y45" s="48"/>
      <c r="Z45" s="48"/>
      <c r="AA45" s="48"/>
      <c r="AB45" s="93" t="str">
        <f t="shared" si="8"/>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row>
    <row r="46" spans="2:34" s="25" customFormat="1" ht="15.6" x14ac:dyDescent="0.3">
      <c r="B46" s="264">
        <v>7</v>
      </c>
      <c r="C46" s="77"/>
      <c r="D46" s="73"/>
      <c r="E46" s="342" t="str">
        <f>IF(D46="","",VLOOKUP(D46,'10. Condition and Temporal'!$B$6:$D$103,3,FALSE))</f>
        <v/>
      </c>
      <c r="F46" s="702"/>
      <c r="G46" s="703"/>
      <c r="H46" s="71"/>
      <c r="I46" s="724"/>
      <c r="J46" s="725"/>
      <c r="K46" s="726"/>
      <c r="L46" s="733" t="str">
        <f t="shared" si="7"/>
        <v/>
      </c>
      <c r="M46" s="697"/>
      <c r="N46" s="734"/>
      <c r="O46" s="61"/>
      <c r="P46" s="12"/>
      <c r="R46" s="741"/>
      <c r="T46" s="787" t="str">
        <f>IF(C46="","",VLOOKUP(D46,'9. All Habitats + Multipliers'!$C$4:$K$102,5,FALSE))</f>
        <v/>
      </c>
      <c r="U46" s="788"/>
      <c r="V46" s="94" t="str">
        <f>IF(T46="","",VLOOKUP(T46,'11. Lists'!$B$47:$D$49,2,FALSE))</f>
        <v/>
      </c>
      <c r="W46" s="184" t="str">
        <f t="shared" si="9"/>
        <v/>
      </c>
      <c r="X46" s="94" t="str">
        <f>IF(W46="","",VLOOKUP(W46,'11. Lists'!$F$47:$G$51,2,FALSE))</f>
        <v/>
      </c>
      <c r="Y46" s="48"/>
      <c r="Z46" s="48"/>
      <c r="AA46" s="48"/>
      <c r="AB46" s="93" t="str">
        <f t="shared" si="8"/>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row>
    <row r="47" spans="2:34" s="25" customFormat="1" ht="15.6" x14ac:dyDescent="0.3">
      <c r="B47" s="264">
        <v>8</v>
      </c>
      <c r="C47" s="77"/>
      <c r="D47" s="73"/>
      <c r="E47" s="342" t="str">
        <f>IF(D47="","",VLOOKUP(D47,'10. Condition and Temporal'!$B$6:$D$103,3,FALSE))</f>
        <v/>
      </c>
      <c r="F47" s="702"/>
      <c r="G47" s="703"/>
      <c r="H47" s="71"/>
      <c r="I47" s="724"/>
      <c r="J47" s="725"/>
      <c r="K47" s="726"/>
      <c r="L47" s="733" t="str">
        <f t="shared" si="7"/>
        <v/>
      </c>
      <c r="M47" s="697"/>
      <c r="N47" s="734"/>
      <c r="O47" s="61"/>
      <c r="P47" s="12"/>
      <c r="R47" s="741"/>
      <c r="T47" s="787" t="str">
        <f>IF(C47="","",VLOOKUP(D47,'9. All Habitats + Multipliers'!$C$4:$K$102,5,FALSE))</f>
        <v/>
      </c>
      <c r="U47" s="788"/>
      <c r="V47" s="94" t="str">
        <f>IF(T47="","",VLOOKUP(T47,'11. Lists'!$B$47:$D$49,2,FALSE))</f>
        <v/>
      </c>
      <c r="W47" s="184" t="str">
        <f t="shared" si="9"/>
        <v/>
      </c>
      <c r="X47" s="94" t="str">
        <f>IF(W47="","",VLOOKUP(W47,'11. Lists'!$F$47:$G$51,2,FALSE))</f>
        <v/>
      </c>
      <c r="Y47" s="48"/>
      <c r="Z47" s="48"/>
      <c r="AA47" s="48"/>
      <c r="AB47" s="93" t="str">
        <f t="shared" si="8"/>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row>
    <row r="48" spans="2:34" s="25" customFormat="1" ht="15.6" x14ac:dyDescent="0.3">
      <c r="B48" s="264">
        <v>9</v>
      </c>
      <c r="C48" s="77"/>
      <c r="D48" s="73"/>
      <c r="E48" s="342" t="str">
        <f>IF(D48="","",VLOOKUP(D48,'10. Condition and Temporal'!$B$6:$D$103,3,FALSE))</f>
        <v/>
      </c>
      <c r="F48" s="702"/>
      <c r="G48" s="703"/>
      <c r="H48" s="71"/>
      <c r="I48" s="724"/>
      <c r="J48" s="725"/>
      <c r="K48" s="726"/>
      <c r="L48" s="733" t="str">
        <f t="shared" si="7"/>
        <v/>
      </c>
      <c r="M48" s="697"/>
      <c r="N48" s="734"/>
      <c r="O48" s="61"/>
      <c r="P48" s="12"/>
      <c r="R48" s="741"/>
      <c r="T48" s="787" t="str">
        <f>IF(C48="","",VLOOKUP(D48,'9. All Habitats + Multipliers'!$C$4:$K$102,5,FALSE))</f>
        <v/>
      </c>
      <c r="U48" s="788"/>
      <c r="V48" s="94" t="str">
        <f>IF(T48="","",VLOOKUP(T48,'11. Lists'!$B$47:$D$49,2,FALSE))</f>
        <v/>
      </c>
      <c r="W48" s="184" t="str">
        <f t="shared" si="9"/>
        <v/>
      </c>
      <c r="X48" s="94" t="str">
        <f>IF(W48="","",VLOOKUP(W48,'11. Lists'!$F$47:$G$51,2,FALSE))</f>
        <v/>
      </c>
      <c r="Y48" s="48"/>
      <c r="Z48" s="48"/>
      <c r="AA48" s="48"/>
      <c r="AB48" s="93" t="str">
        <f t="shared" si="8"/>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row>
    <row r="49" spans="2:53" s="25" customFormat="1" ht="15.6" x14ac:dyDescent="0.3">
      <c r="B49" s="264">
        <v>10</v>
      </c>
      <c r="C49" s="78"/>
      <c r="D49" s="73"/>
      <c r="E49" s="342" t="str">
        <f>IF(D49="","",VLOOKUP(D49,'10. Condition and Temporal'!$B$6:$D$103,3,FALSE))</f>
        <v/>
      </c>
      <c r="F49" s="702"/>
      <c r="G49" s="703"/>
      <c r="H49" s="71"/>
      <c r="I49" s="724"/>
      <c r="J49" s="725"/>
      <c r="K49" s="726"/>
      <c r="L49" s="733" t="str">
        <f t="shared" si="7"/>
        <v/>
      </c>
      <c r="M49" s="697"/>
      <c r="N49" s="734"/>
      <c r="O49" s="61"/>
      <c r="P49" s="12"/>
      <c r="R49" s="741"/>
      <c r="T49" s="787" t="str">
        <f>IF(C49="","",VLOOKUP(D49,'9. All Habitats + Multipliers'!$C$4:$K$102,5,FALSE))</f>
        <v/>
      </c>
      <c r="U49" s="788"/>
      <c r="V49" s="94" t="str">
        <f>IF(T49="","",VLOOKUP(T49,'11. Lists'!$B$47:$D$49,2,FALSE))</f>
        <v/>
      </c>
      <c r="W49" s="184" t="str">
        <f t="shared" si="9"/>
        <v/>
      </c>
      <c r="X49" s="94" t="str">
        <f>IF(W49="","",VLOOKUP(W49,'11. Lists'!$F$47:$G$51,2,FALSE))</f>
        <v/>
      </c>
      <c r="Y49" s="48"/>
      <c r="Z49" s="48"/>
      <c r="AA49" s="48"/>
      <c r="AB49" s="93" t="str">
        <f t="shared" si="8"/>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row>
    <row r="50" spans="2:53" s="25" customFormat="1" ht="15.6" x14ac:dyDescent="0.3">
      <c r="B50" s="264">
        <v>11</v>
      </c>
      <c r="C50" s="78"/>
      <c r="D50" s="73"/>
      <c r="E50" s="342" t="str">
        <f>IF(D50="","",VLOOKUP(D50,'10. Condition and Temporal'!$B$6:$D$103,3,FALSE))</f>
        <v/>
      </c>
      <c r="F50" s="702"/>
      <c r="G50" s="703"/>
      <c r="H50" s="71"/>
      <c r="I50" s="724"/>
      <c r="J50" s="725"/>
      <c r="K50" s="726"/>
      <c r="L50" s="733" t="str">
        <f t="shared" si="7"/>
        <v/>
      </c>
      <c r="M50" s="697"/>
      <c r="N50" s="734"/>
      <c r="O50" s="61"/>
      <c r="P50" s="12"/>
      <c r="R50" s="741"/>
      <c r="T50" s="787" t="str">
        <f>IF(C50="","",VLOOKUP(D50,'9. All Habitats + Multipliers'!$C$4:$K$102,5,FALSE))</f>
        <v/>
      </c>
      <c r="U50" s="788"/>
      <c r="V50" s="94" t="str">
        <f>IF(T50="","",VLOOKUP(T50,'11. Lists'!$B$47:$D$49,2,FALSE))</f>
        <v/>
      </c>
      <c r="W50" s="184" t="str">
        <f t="shared" si="9"/>
        <v/>
      </c>
      <c r="X50" s="94" t="str">
        <f>IF(W50="","",VLOOKUP(W50,'11. Lists'!$F$47:$G$51,2,FALSE))</f>
        <v/>
      </c>
      <c r="Y50" s="48"/>
      <c r="Z50" s="48"/>
      <c r="AA50" s="48"/>
      <c r="AB50" s="93" t="str">
        <f t="shared" si="8"/>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row>
    <row r="51" spans="2:53" s="25" customFormat="1" ht="15.6" x14ac:dyDescent="0.3">
      <c r="B51" s="264">
        <v>12</v>
      </c>
      <c r="C51" s="78"/>
      <c r="D51" s="73"/>
      <c r="E51" s="342" t="str">
        <f>IF(D51="","",VLOOKUP(D51,'10. Condition and Temporal'!$B$6:$D$103,3,FALSE))</f>
        <v/>
      </c>
      <c r="F51" s="702"/>
      <c r="G51" s="703"/>
      <c r="H51" s="71"/>
      <c r="I51" s="724"/>
      <c r="J51" s="725"/>
      <c r="K51" s="726"/>
      <c r="L51" s="733" t="str">
        <f t="shared" si="7"/>
        <v/>
      </c>
      <c r="M51" s="697"/>
      <c r="N51" s="734"/>
      <c r="O51" s="61"/>
      <c r="P51" s="12"/>
      <c r="R51" s="741"/>
      <c r="T51" s="787" t="str">
        <f>IF(C51="","",VLOOKUP(D51,'9. All Habitats + Multipliers'!$C$4:$K$102,5,FALSE))</f>
        <v/>
      </c>
      <c r="U51" s="788"/>
      <c r="V51" s="94" t="str">
        <f>IF(T51="","",VLOOKUP(T51,'11. Lists'!$B$47:$D$49,2,FALSE))</f>
        <v/>
      </c>
      <c r="W51" s="184" t="str">
        <f t="shared" si="9"/>
        <v/>
      </c>
      <c r="X51" s="94" t="str">
        <f>IF(W51="","",VLOOKUP(W51,'11. Lists'!$F$47:$G$51,2,FALSE))</f>
        <v/>
      </c>
      <c r="Y51" s="48"/>
      <c r="Z51" s="48"/>
      <c r="AA51" s="48"/>
      <c r="AB51" s="93" t="str">
        <f t="shared" si="8"/>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row>
    <row r="52" spans="2:53" s="25" customFormat="1" ht="15.6" x14ac:dyDescent="0.3">
      <c r="B52" s="264">
        <v>13</v>
      </c>
      <c r="C52" s="78"/>
      <c r="D52" s="73"/>
      <c r="E52" s="342" t="str">
        <f>IF(D52="","",VLOOKUP(D52,'10. Condition and Temporal'!$B$6:$D$103,3,FALSE))</f>
        <v/>
      </c>
      <c r="F52" s="702"/>
      <c r="G52" s="703"/>
      <c r="H52" s="71"/>
      <c r="I52" s="724"/>
      <c r="J52" s="725"/>
      <c r="K52" s="726"/>
      <c r="L52" s="733" t="str">
        <f t="shared" si="7"/>
        <v/>
      </c>
      <c r="M52" s="697"/>
      <c r="N52" s="734"/>
      <c r="O52" s="61"/>
      <c r="P52" s="12"/>
      <c r="R52" s="741"/>
      <c r="T52" s="787" t="str">
        <f>IF(C52="","",VLOOKUP(D52,'9. All Habitats + Multipliers'!$C$4:$K$102,5,FALSE))</f>
        <v/>
      </c>
      <c r="U52" s="788"/>
      <c r="V52" s="94" t="str">
        <f>IF(T52="","",VLOOKUP(T52,'11. Lists'!$B$47:$D$49,2,FALSE))</f>
        <v/>
      </c>
      <c r="W52" s="184" t="str">
        <f t="shared" si="9"/>
        <v/>
      </c>
      <c r="X52" s="94" t="str">
        <f>IF(W52="","",VLOOKUP(W52,'11. Lists'!$F$47:$G$51,2,FALSE))</f>
        <v/>
      </c>
      <c r="Y52" s="48"/>
      <c r="Z52" s="48"/>
      <c r="AA52" s="48"/>
      <c r="AB52" s="93" t="str">
        <f t="shared" si="8"/>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row>
    <row r="53" spans="2:53" s="25" customFormat="1" ht="15.6" x14ac:dyDescent="0.3">
      <c r="B53" s="264">
        <v>14</v>
      </c>
      <c r="C53" s="78"/>
      <c r="D53" s="73"/>
      <c r="E53" s="342" t="str">
        <f>IF(D53="","",VLOOKUP(D53,'10. Condition and Temporal'!$B$6:$D$103,3,FALSE))</f>
        <v/>
      </c>
      <c r="F53" s="702"/>
      <c r="G53" s="703"/>
      <c r="H53" s="71"/>
      <c r="I53" s="724"/>
      <c r="J53" s="725"/>
      <c r="K53" s="726"/>
      <c r="L53" s="733" t="str">
        <f t="shared" si="7"/>
        <v/>
      </c>
      <c r="M53" s="697"/>
      <c r="N53" s="734"/>
      <c r="O53" s="61"/>
      <c r="P53" s="12"/>
      <c r="R53" s="741"/>
      <c r="T53" s="787" t="str">
        <f>IF(C53="","",VLOOKUP(D53,'9. All Habitats + Multipliers'!$C$4:$K$102,5,FALSE))</f>
        <v/>
      </c>
      <c r="U53" s="788"/>
      <c r="V53" s="94" t="str">
        <f>IF(T53="","",VLOOKUP(T53,'11. Lists'!$B$47:$D$49,2,FALSE))</f>
        <v/>
      </c>
      <c r="W53" s="184" t="str">
        <f t="shared" si="9"/>
        <v/>
      </c>
      <c r="X53" s="94" t="str">
        <f>IF(W53="","",VLOOKUP(W53,'11. Lists'!$F$47:$G$51,2,FALSE))</f>
        <v/>
      </c>
      <c r="Y53" s="48"/>
      <c r="Z53" s="48"/>
      <c r="AA53" s="48"/>
      <c r="AB53" s="93" t="str">
        <f t="shared" si="8"/>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row>
    <row r="54" spans="2:53" s="25" customFormat="1" ht="15.6" x14ac:dyDescent="0.3">
      <c r="B54" s="264">
        <v>15</v>
      </c>
      <c r="C54" s="78"/>
      <c r="D54" s="73"/>
      <c r="E54" s="342" t="str">
        <f>IF(D54="","",VLOOKUP(D54,'10. Condition and Temporal'!$B$6:$D$103,3,FALSE))</f>
        <v/>
      </c>
      <c r="F54" s="702"/>
      <c r="G54" s="703"/>
      <c r="H54" s="71"/>
      <c r="I54" s="724"/>
      <c r="J54" s="725"/>
      <c r="K54" s="726"/>
      <c r="L54" s="733" t="str">
        <f t="shared" si="7"/>
        <v/>
      </c>
      <c r="M54" s="697"/>
      <c r="N54" s="734"/>
      <c r="O54" s="61"/>
      <c r="P54" s="12"/>
      <c r="R54" s="741"/>
      <c r="T54" s="787" t="str">
        <f>IF(C54="","",VLOOKUP(D54,'9. All Habitats + Multipliers'!$C$4:$K$102,5,FALSE))</f>
        <v/>
      </c>
      <c r="U54" s="788"/>
      <c r="V54" s="94" t="str">
        <f>IF(T54="","",VLOOKUP(T54,'11. Lists'!$B$47:$D$49,2,FALSE))</f>
        <v/>
      </c>
      <c r="W54" s="184" t="str">
        <f t="shared" si="9"/>
        <v/>
      </c>
      <c r="X54" s="94" t="str">
        <f>IF(W54="","",VLOOKUP(W54,'11. Lists'!$F$47:$G$51,2,FALSE))</f>
        <v/>
      </c>
      <c r="Y54" s="48"/>
      <c r="Z54" s="48"/>
      <c r="AA54" s="48"/>
      <c r="AB54" s="93" t="str">
        <f t="shared" si="8"/>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row>
    <row r="55" spans="2:53" s="25" customFormat="1" ht="15.6" x14ac:dyDescent="0.3">
      <c r="B55" s="264">
        <v>16</v>
      </c>
      <c r="C55" s="78"/>
      <c r="D55" s="73"/>
      <c r="E55" s="342" t="str">
        <f>IF(D55="","",VLOOKUP(D55,'10. Condition and Temporal'!$B$6:$D$103,3,FALSE))</f>
        <v/>
      </c>
      <c r="F55" s="702"/>
      <c r="G55" s="703"/>
      <c r="H55" s="71"/>
      <c r="I55" s="724"/>
      <c r="J55" s="725"/>
      <c r="K55" s="726"/>
      <c r="L55" s="733" t="str">
        <f t="shared" si="7"/>
        <v/>
      </c>
      <c r="M55" s="697"/>
      <c r="N55" s="734"/>
      <c r="O55" s="61"/>
      <c r="P55" s="12"/>
      <c r="R55" s="741"/>
      <c r="T55" s="787" t="str">
        <f>IF(C55="","",VLOOKUP(D55,'9. All Habitats + Multipliers'!$C$4:$K$102,5,FALSE))</f>
        <v/>
      </c>
      <c r="U55" s="788"/>
      <c r="V55" s="94" t="str">
        <f>IF(T55="","",VLOOKUP(T55,'11. Lists'!$B$47:$D$49,2,FALSE))</f>
        <v/>
      </c>
      <c r="W55" s="184" t="str">
        <f t="shared" si="9"/>
        <v/>
      </c>
      <c r="X55" s="94" t="str">
        <f>IF(W55="","",VLOOKUP(W55,'11. Lists'!$F$47:$G$51,2,FALSE))</f>
        <v/>
      </c>
      <c r="Y55" s="48"/>
      <c r="Z55" s="48"/>
      <c r="AA55" s="48"/>
      <c r="AB55" s="93" t="str">
        <f t="shared" si="8"/>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row>
    <row r="56" spans="2:53" s="25" customFormat="1" ht="15.6" x14ac:dyDescent="0.3">
      <c r="B56" s="264">
        <v>17</v>
      </c>
      <c r="C56" s="78"/>
      <c r="D56" s="73"/>
      <c r="E56" s="342" t="str">
        <f>IF(D56="","",VLOOKUP(D56,'10. Condition and Temporal'!$B$6:$D$103,3,FALSE))</f>
        <v/>
      </c>
      <c r="F56" s="702"/>
      <c r="G56" s="703"/>
      <c r="H56" s="71"/>
      <c r="I56" s="724"/>
      <c r="J56" s="725"/>
      <c r="K56" s="726"/>
      <c r="L56" s="733" t="str">
        <f t="shared" si="7"/>
        <v/>
      </c>
      <c r="M56" s="697"/>
      <c r="N56" s="734"/>
      <c r="O56" s="61"/>
      <c r="P56" s="12"/>
      <c r="R56" s="741"/>
      <c r="T56" s="787" t="str">
        <f>IF(C56="","",VLOOKUP(D56,'9. All Habitats + Multipliers'!$C$4:$K$102,5,FALSE))</f>
        <v/>
      </c>
      <c r="U56" s="788"/>
      <c r="V56" s="94" t="str">
        <f>IF(T56="","",VLOOKUP(T56,'11. Lists'!$B$47:$D$49,2,FALSE))</f>
        <v/>
      </c>
      <c r="W56" s="184" t="str">
        <f t="shared" si="9"/>
        <v/>
      </c>
      <c r="X56" s="94" t="str">
        <f>IF(W56="","",VLOOKUP(W56,'11. Lists'!$F$47:$G$51,2,FALSE))</f>
        <v/>
      </c>
      <c r="Y56" s="48"/>
      <c r="Z56" s="48"/>
      <c r="AA56" s="48"/>
      <c r="AB56" s="93" t="str">
        <f t="shared" si="8"/>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row>
    <row r="57" spans="2:53" s="25" customFormat="1" ht="15.6" x14ac:dyDescent="0.3">
      <c r="B57" s="264">
        <v>18</v>
      </c>
      <c r="C57" s="78"/>
      <c r="D57" s="73"/>
      <c r="E57" s="342" t="str">
        <f>IF(D57="","",VLOOKUP(D57,'10. Condition and Temporal'!$B$6:$D$103,3,FALSE))</f>
        <v/>
      </c>
      <c r="F57" s="702"/>
      <c r="G57" s="703"/>
      <c r="H57" s="71"/>
      <c r="I57" s="724"/>
      <c r="J57" s="725"/>
      <c r="K57" s="726"/>
      <c r="L57" s="733" t="str">
        <f t="shared" si="7"/>
        <v/>
      </c>
      <c r="M57" s="697"/>
      <c r="N57" s="734"/>
      <c r="O57" s="61"/>
      <c r="P57" s="12"/>
      <c r="R57" s="741"/>
      <c r="T57" s="787" t="str">
        <f>IF(C57="","",VLOOKUP(D57,'9. All Habitats + Multipliers'!$C$4:$K$102,5,FALSE))</f>
        <v/>
      </c>
      <c r="U57" s="788"/>
      <c r="V57" s="94" t="str">
        <f>IF(T57="","",VLOOKUP(T57,'11. Lists'!$B$47:$D$49,2,FALSE))</f>
        <v/>
      </c>
      <c r="W57" s="184" t="str">
        <f t="shared" si="9"/>
        <v/>
      </c>
      <c r="X57" s="94" t="str">
        <f>IF(W57="","",VLOOKUP(W57,'11. Lists'!$F$47:$G$51,2,FALSE))</f>
        <v/>
      </c>
      <c r="Y57" s="48"/>
      <c r="Z57" s="48"/>
      <c r="AA57" s="48"/>
      <c r="AB57" s="93" t="str">
        <f t="shared" si="8"/>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row>
    <row r="58" spans="2:53" s="25" customFormat="1" ht="15.6" x14ac:dyDescent="0.3">
      <c r="B58" s="264">
        <v>19</v>
      </c>
      <c r="C58" s="78"/>
      <c r="D58" s="73"/>
      <c r="E58" s="342" t="str">
        <f>IF(D58="","",VLOOKUP(D58,'10. Condition and Temporal'!$B$6:$D$103,3,FALSE))</f>
        <v/>
      </c>
      <c r="F58" s="702"/>
      <c r="G58" s="703"/>
      <c r="H58" s="71"/>
      <c r="I58" s="724"/>
      <c r="J58" s="725"/>
      <c r="K58" s="726"/>
      <c r="L58" s="733" t="str">
        <f t="shared" si="7"/>
        <v/>
      </c>
      <c r="M58" s="697"/>
      <c r="N58" s="734"/>
      <c r="O58" s="61"/>
      <c r="P58" s="12"/>
      <c r="R58" s="741"/>
      <c r="T58" s="787" t="str">
        <f>IF(C58="","",VLOOKUP(D58,'9. All Habitats + Multipliers'!$C$4:$K$102,5,FALSE))</f>
        <v/>
      </c>
      <c r="U58" s="788"/>
      <c r="V58" s="94" t="str">
        <f>IF(T58="","",VLOOKUP(T58,'11. Lists'!$B$47:$D$49,2,FALSE))</f>
        <v/>
      </c>
      <c r="W58" s="184" t="str">
        <f t="shared" si="9"/>
        <v/>
      </c>
      <c r="X58" s="94" t="str">
        <f>IF(W58="","",VLOOKUP(W58,'11. Lists'!$F$47:$G$51,2,FALSE))</f>
        <v/>
      </c>
      <c r="Y58" s="48"/>
      <c r="Z58" s="48"/>
      <c r="AA58" s="48"/>
      <c r="AB58" s="93" t="str">
        <f t="shared" si="8"/>
        <v/>
      </c>
      <c r="AC58" s="95" t="str">
        <f>IF(AB58="","",VLOOKUP(AB58,'11. Lists'!$F$36:$H$38,2,FALSE))</f>
        <v/>
      </c>
      <c r="AD58" s="94" t="str">
        <f>IF(AB58="","",VLOOKUP(AB58,'11. Lists'!$F$36:$H$38,3,FALSE))</f>
        <v/>
      </c>
      <c r="AE58" s="93"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07" t="str">
        <f>IF(AE58="","",VLOOKUP(AE58,'11. Lists'!$I$47:$K$80,3,FALSE))</f>
        <v/>
      </c>
      <c r="AG58" s="93" t="str">
        <f>IF(D58="","",VLOOKUP(D58,'9. All Habitats + Multipliers'!$C$4:$K$102,7,FALSE))</f>
        <v/>
      </c>
      <c r="AH58" s="94" t="str">
        <f>IF(AG58="","",VLOOKUP(AG58,'11. Lists'!$J$35:$K$38,2,FALSE))</f>
        <v/>
      </c>
    </row>
    <row r="59" spans="2:53" s="25" customFormat="1" ht="16.2" thickBot="1" x14ac:dyDescent="0.35">
      <c r="B59" s="266">
        <v>20</v>
      </c>
      <c r="C59" s="78"/>
      <c r="D59" s="73"/>
      <c r="E59" s="342" t="str">
        <f>IF(D59="","",VLOOKUP(D59,'10. Condition and Temporal'!$B$6:$D$103,3,FALSE))</f>
        <v/>
      </c>
      <c r="F59" s="702"/>
      <c r="G59" s="703"/>
      <c r="H59" s="79"/>
      <c r="I59" s="724"/>
      <c r="J59" s="725"/>
      <c r="K59" s="726"/>
      <c r="L59" s="733" t="str">
        <f t="shared" si="7"/>
        <v/>
      </c>
      <c r="M59" s="697"/>
      <c r="N59" s="734"/>
      <c r="O59" s="22"/>
      <c r="P59" s="6"/>
      <c r="R59" s="741"/>
      <c r="T59" s="787" t="str">
        <f>IF(C59="","",VLOOKUP(D59,'9. All Habitats + Multipliers'!$C$4:$K$102,5,FALSE))</f>
        <v/>
      </c>
      <c r="U59" s="788"/>
      <c r="V59" s="94" t="str">
        <f>IF(T59="","",VLOOKUP(T59,'11. Lists'!$B$47:$D$49,2,FALSE))</f>
        <v/>
      </c>
      <c r="W59" s="184" t="str">
        <f t="shared" si="9"/>
        <v/>
      </c>
      <c r="X59" s="94" t="str">
        <f>IF(W59="","",VLOOKUP(W59,'11. Lists'!$F$47:$G$51,2,FALSE))</f>
        <v/>
      </c>
      <c r="Y59" s="48"/>
      <c r="Z59" s="48"/>
      <c r="AA59" s="48"/>
      <c r="AB59" s="93" t="str">
        <f t="shared" si="8"/>
        <v/>
      </c>
      <c r="AC59" s="95" t="str">
        <f>IF(AB59="","",VLOOKUP(AB59,'11. Lists'!$F$36:$H$38,2,FALSE))</f>
        <v/>
      </c>
      <c r="AD59" s="94" t="str">
        <f>IF(AB59="","",VLOOKUP(AB59,'11. Lists'!$F$36:$H$38,3,FALSE))</f>
        <v/>
      </c>
      <c r="AE59" s="93" t="str">
        <f>IF(F59="","",IF(F59="Moderate",VLOOKUP(D59,'10. Condition and Temporal'!$B$6:$L$103,6,FALSE),IF(F59="Good",VLOOKUP(D59,'10. Condition and Temporal'!$B$6:$L$103,7,FALSE),IF(F59="Poor",VLOOKUP(D59,'10. Condition and Temporal'!$B$6:$L$103,8,FALSE),IF(F59="Condition Assessment N/A",VLOOKUP(D59,'10. Condition and Temporal'!$B$6:$L$103,9,FALSE),IF(F59="N/A - Other",VLOOKUP(D59,'10. Condition and Temporal'!$B$6:$L$103,10,FALSE)))))))</f>
        <v/>
      </c>
      <c r="AF59" s="107" t="str">
        <f>IF(AE59="","",VLOOKUP(AE59,'11. Lists'!$I$47:$K$80,3,FALSE))</f>
        <v/>
      </c>
      <c r="AG59" s="93" t="str">
        <f>IF(D59="","",VLOOKUP(D59,'9. All Habitats + Multipliers'!$C$4:$K$102,7,FALSE))</f>
        <v/>
      </c>
      <c r="AH59" s="94" t="str">
        <f>IF(AG59="","",VLOOKUP(AG59,'11. Lists'!$J$35:$K$38,2,FALSE))</f>
        <v/>
      </c>
    </row>
    <row r="60" spans="2:53" s="25" customFormat="1" ht="29.4" thickBot="1" x14ac:dyDescent="0.35">
      <c r="B60" s="267" t="s">
        <v>89</v>
      </c>
      <c r="C60" s="97" t="s">
        <v>90</v>
      </c>
      <c r="D60" s="108" t="s">
        <v>91</v>
      </c>
      <c r="E60" s="109" t="s">
        <v>111</v>
      </c>
      <c r="F60" s="818" t="s">
        <v>111</v>
      </c>
      <c r="G60" s="712"/>
      <c r="H60" s="550" t="s">
        <v>112</v>
      </c>
      <c r="I60" s="793">
        <f>O99</f>
        <v>0</v>
      </c>
      <c r="J60" s="794"/>
      <c r="K60" s="795"/>
      <c r="L60" s="820">
        <f>IF(D60="","",((I60/10000)*(V60*X60))*(AH60*AF60)*AD60)</f>
        <v>0</v>
      </c>
      <c r="M60" s="821"/>
      <c r="N60" s="822"/>
      <c r="O60" s="38"/>
      <c r="P60" s="39"/>
      <c r="R60" s="741"/>
      <c r="T60" s="842" t="str">
        <f>IF(C60="","",VLOOKUP(D60,'9. All Habitats + Multipliers'!$C$4:$K$102,5,FALSE))</f>
        <v>Medium</v>
      </c>
      <c r="U60" s="843"/>
      <c r="V60" s="99">
        <f>IF(T60="","",VLOOKUP(T60,'11. Lists'!$B$47:$D$49,2,FALSE))</f>
        <v>4</v>
      </c>
      <c r="W60" s="345" t="str">
        <f>IF(F60="","",F60)</f>
        <v>Moderate</v>
      </c>
      <c r="X60" s="99">
        <f>IF(W60="","",VLOOKUP(W60,'11. Lists'!$F$47:$G$51,2,FALSE))</f>
        <v>2</v>
      </c>
      <c r="Y60" s="48"/>
      <c r="Z60" s="48"/>
      <c r="AA60" s="48"/>
      <c r="AB60" s="98" t="str">
        <f t="shared" si="8"/>
        <v>Area/compensation not in local strategy/ no local strategy</v>
      </c>
      <c r="AC60" s="100" t="str">
        <f>IF(AB60="","",VLOOKUP(AB60,'11. Lists'!$F$36:$H$38,2,FALSE))</f>
        <v>Low Strategic Significance</v>
      </c>
      <c r="AD60" s="99">
        <f>IF(AB60="","",VLOOKUP(AB60,'11. Lists'!$F$36:$H$38,3,FALSE))</f>
        <v>1</v>
      </c>
      <c r="AE60" s="98">
        <f>IF(F60="","",IF(F60="Moderate",VLOOKUP(D60,'10. Condition and Temporal'!$B$6:$L$103,6,FALSE),IF('5. Area Habitats'!F60="Good",VLOOKUP(D60,'10. Condition and Temporal'!$B$6:$L$103,7,FALSE),VLOOKUP(D60,'10. Condition and Temporal'!$B$6:$L$103,8,FALSE))))</f>
        <v>27</v>
      </c>
      <c r="AF60" s="110">
        <f>IF(AE60="","",VLOOKUP(AE60,'11. Lists'!$I$47:$K$80,3,FALSE))</f>
        <v>0.38215316459999998</v>
      </c>
      <c r="AG60" s="98" t="str">
        <f>IF(D60="","",VLOOKUP(D60,'9. All Habitats + Multipliers'!$C$4:$K$102,7,FALSE))</f>
        <v>Low</v>
      </c>
      <c r="AH60" s="99">
        <f>IF(AG60="","",VLOOKUP(AG60,'11. Lists'!$J$35:$K$38,2,FALSE))</f>
        <v>1</v>
      </c>
    </row>
    <row r="61" spans="2:53" s="25" customFormat="1" ht="15" thickBot="1" x14ac:dyDescent="0.35">
      <c r="H61" s="499" t="s">
        <v>93</v>
      </c>
      <c r="I61" s="735">
        <f>SUMIFS(I40:I59,D40:D59,"&lt;&gt;"&amp;'11. Lists'!Q10,D40:D59,"&lt;&gt;"&amp;'11. Lists'!Q11,D40:D59,"&lt;&gt;"&amp;'11. Lists'!I4,D40:D59,"&lt;&gt;"&amp;'11. Lists'!I2,D40:D59,"&lt;&gt;"&amp;'11. Lists'!I3)</f>
        <v>604</v>
      </c>
      <c r="J61" s="736"/>
      <c r="K61" s="737"/>
      <c r="L61" s="738">
        <f>SUM(L40:N60)</f>
        <v>0</v>
      </c>
      <c r="M61" s="739"/>
      <c r="N61" s="740"/>
      <c r="R61" s="741"/>
    </row>
    <row r="62" spans="2:53" s="25" customFormat="1" ht="15" thickBot="1" x14ac:dyDescent="0.35">
      <c r="H62" s="268" t="s">
        <v>113</v>
      </c>
      <c r="I62" s="823" t="str">
        <f>IF(AND(M32=0,I61=0),"Areas Acceptable ✓",IF(OR(I61-M32&lt;=-0.001,(I61-M32&gt;=0.001)),("Error - Area of habitat creation must match area lost ▲"),("Areas Acceptable ✓")))</f>
        <v>Areas Acceptable ✓</v>
      </c>
      <c r="J62" s="824"/>
      <c r="K62" s="824"/>
      <c r="L62" s="824"/>
      <c r="M62" s="824"/>
      <c r="N62" s="825"/>
      <c r="O62" s="157">
        <f>IFERROR(FIND("Error",I62),0)</f>
        <v>0</v>
      </c>
      <c r="R62" s="741"/>
    </row>
    <row r="63" spans="2:53" s="25" customFormat="1" x14ac:dyDescent="0.3">
      <c r="I63" s="436">
        <f>SUM($I$40:$K$60)</f>
        <v>604</v>
      </c>
      <c r="R63" s="741"/>
      <c r="BA63" s="50" t="s">
        <v>114</v>
      </c>
    </row>
    <row r="64" spans="2:53" s="25" customFormat="1" ht="21" x14ac:dyDescent="0.4">
      <c r="B64" s="57" t="s">
        <v>115</v>
      </c>
      <c r="D64" s="88"/>
      <c r="H64" s="26"/>
      <c r="R64" s="741"/>
      <c r="BA64" s="50" t="s">
        <v>116</v>
      </c>
    </row>
    <row r="65" spans="1:76" s="25" customFormat="1" ht="15" thickBot="1" x14ac:dyDescent="0.35">
      <c r="A65" s="89"/>
      <c r="R65" s="741" t="s">
        <v>52</v>
      </c>
    </row>
    <row r="66" spans="1:76" s="25" customFormat="1" ht="16.2" customHeight="1" thickBot="1" x14ac:dyDescent="0.35">
      <c r="A66" s="89"/>
      <c r="B66" s="833" t="s">
        <v>117</v>
      </c>
      <c r="C66" s="684" t="s">
        <v>118</v>
      </c>
      <c r="D66" s="686"/>
      <c r="E66" s="708" t="s">
        <v>119</v>
      </c>
      <c r="F66" s="718"/>
      <c r="G66" s="710"/>
      <c r="H66" s="727" t="s">
        <v>120</v>
      </c>
      <c r="I66" s="727" t="s">
        <v>121</v>
      </c>
      <c r="J66" s="729" t="s">
        <v>122</v>
      </c>
      <c r="K66" s="730"/>
      <c r="L66" s="684" t="s">
        <v>123</v>
      </c>
      <c r="M66" s="685" t="s">
        <v>124</v>
      </c>
      <c r="N66" s="686"/>
      <c r="O66" s="819" t="s">
        <v>65</v>
      </c>
      <c r="P66" s="687"/>
      <c r="R66" s="741"/>
      <c r="T66" s="847" t="s">
        <v>125</v>
      </c>
      <c r="U66" s="848"/>
      <c r="V66" s="848"/>
      <c r="W66" s="848"/>
      <c r="X66" s="848"/>
      <c r="Y66" s="848"/>
      <c r="Z66" s="848"/>
      <c r="AA66" s="848"/>
      <c r="AB66" s="848"/>
      <c r="AC66" s="848"/>
      <c r="AD66" s="849"/>
      <c r="AE66" s="727" t="s">
        <v>126</v>
      </c>
      <c r="AF66" s="847" t="s">
        <v>127</v>
      </c>
      <c r="AG66" s="848"/>
      <c r="AH66" s="848"/>
      <c r="AI66" s="848"/>
      <c r="AJ66" s="848"/>
      <c r="AK66" s="848"/>
      <c r="AL66" s="848"/>
      <c r="AM66" s="848"/>
      <c r="AN66" s="848"/>
      <c r="AO66" s="848"/>
      <c r="AP66" s="849"/>
      <c r="AQ66" s="850" t="s">
        <v>128</v>
      </c>
      <c r="AR66" s="847" t="s">
        <v>127</v>
      </c>
      <c r="AS66" s="848"/>
      <c r="AT66" s="848"/>
      <c r="AU66" s="848"/>
      <c r="AV66" s="848"/>
      <c r="AW66" s="848"/>
      <c r="AX66" s="848"/>
      <c r="AY66" s="460"/>
      <c r="BA66" s="154" t="s">
        <v>129</v>
      </c>
      <c r="BB66" s="185">
        <f>COUNTIF(BB68:BB87,"?*")</f>
        <v>0</v>
      </c>
      <c r="BC66" s="185">
        <f t="shared" ref="BC66:BU66" si="10">COUNTIF(BC68:BC87,"?*")</f>
        <v>0</v>
      </c>
      <c r="BD66" s="185">
        <f t="shared" si="10"/>
        <v>0</v>
      </c>
      <c r="BE66" s="185">
        <f t="shared" si="10"/>
        <v>4</v>
      </c>
      <c r="BF66" s="185">
        <f t="shared" si="10"/>
        <v>0</v>
      </c>
      <c r="BG66" s="185">
        <f t="shared" si="10"/>
        <v>0</v>
      </c>
      <c r="BH66" s="185">
        <f t="shared" si="10"/>
        <v>0</v>
      </c>
      <c r="BI66" s="185">
        <f t="shared" si="10"/>
        <v>0</v>
      </c>
      <c r="BJ66" s="185">
        <f t="shared" si="10"/>
        <v>0</v>
      </c>
      <c r="BK66" s="185">
        <f t="shared" si="10"/>
        <v>0</v>
      </c>
      <c r="BL66" s="185">
        <f t="shared" si="10"/>
        <v>0</v>
      </c>
      <c r="BM66" s="185">
        <f t="shared" si="10"/>
        <v>0</v>
      </c>
      <c r="BN66" s="185">
        <f t="shared" si="10"/>
        <v>0</v>
      </c>
      <c r="BO66" s="185">
        <f t="shared" si="10"/>
        <v>0</v>
      </c>
      <c r="BP66" s="185">
        <f t="shared" si="10"/>
        <v>0</v>
      </c>
      <c r="BQ66" s="185">
        <f t="shared" si="10"/>
        <v>0</v>
      </c>
      <c r="BR66" s="185">
        <f t="shared" si="10"/>
        <v>0</v>
      </c>
      <c r="BS66" s="185">
        <f t="shared" si="10"/>
        <v>0</v>
      </c>
      <c r="BT66" s="185">
        <f t="shared" si="10"/>
        <v>0</v>
      </c>
      <c r="BU66" s="185">
        <f t="shared" si="10"/>
        <v>0</v>
      </c>
    </row>
    <row r="67" spans="1:76" s="25" customFormat="1" ht="48.6" customHeight="1" thickBot="1" x14ac:dyDescent="0.35">
      <c r="A67" s="89"/>
      <c r="B67" s="834"/>
      <c r="C67" s="211" t="s">
        <v>130</v>
      </c>
      <c r="D67" s="90" t="s">
        <v>131</v>
      </c>
      <c r="E67" s="86" t="s">
        <v>132</v>
      </c>
      <c r="F67" s="670" t="s">
        <v>133</v>
      </c>
      <c r="G67" s="679"/>
      <c r="H67" s="728"/>
      <c r="I67" s="728"/>
      <c r="J67" s="731"/>
      <c r="K67" s="732"/>
      <c r="L67" s="699"/>
      <c r="M67" s="700"/>
      <c r="N67" s="701"/>
      <c r="O67" s="196" t="s">
        <v>80</v>
      </c>
      <c r="P67" s="90" t="s">
        <v>81</v>
      </c>
      <c r="R67" s="741"/>
      <c r="T67" s="332" t="s">
        <v>134</v>
      </c>
      <c r="U67" s="351" t="s">
        <v>135</v>
      </c>
      <c r="V67" s="350" t="s">
        <v>136</v>
      </c>
      <c r="W67" s="505" t="s">
        <v>137</v>
      </c>
      <c r="X67" s="506" t="s">
        <v>138</v>
      </c>
      <c r="Y67" s="355"/>
      <c r="Z67" s="355"/>
      <c r="AA67" s="355"/>
      <c r="AB67" s="506" t="s">
        <v>139</v>
      </c>
      <c r="AC67" s="506" t="s">
        <v>140</v>
      </c>
      <c r="AD67" s="350" t="s">
        <v>141</v>
      </c>
      <c r="AE67" s="728"/>
      <c r="AF67" s="333" t="s">
        <v>134</v>
      </c>
      <c r="AG67" s="351" t="s">
        <v>82</v>
      </c>
      <c r="AH67" s="350" t="s">
        <v>83</v>
      </c>
      <c r="AI67" s="505" t="s">
        <v>84</v>
      </c>
      <c r="AJ67" s="359" t="s">
        <v>83</v>
      </c>
      <c r="AK67" s="346"/>
      <c r="AL67" s="346"/>
      <c r="AM67" s="346"/>
      <c r="AN67" s="360" t="s">
        <v>68</v>
      </c>
      <c r="AO67" s="506" t="s">
        <v>68</v>
      </c>
      <c r="AP67" s="516" t="s">
        <v>85</v>
      </c>
      <c r="AQ67" s="851"/>
      <c r="AR67" s="350" t="s">
        <v>142</v>
      </c>
      <c r="AS67" s="351" t="s">
        <v>143</v>
      </c>
      <c r="AT67" s="350" t="s">
        <v>144</v>
      </c>
      <c r="AU67" s="352" t="s">
        <v>145</v>
      </c>
      <c r="AV67" s="350" t="s">
        <v>146</v>
      </c>
      <c r="AW67" s="331" t="s">
        <v>147</v>
      </c>
      <c r="AX67" s="458" t="s">
        <v>148</v>
      </c>
      <c r="AY67" s="461" t="s">
        <v>149</v>
      </c>
      <c r="BA67" s="83" t="s">
        <v>150</v>
      </c>
      <c r="BB67" s="169">
        <v>1</v>
      </c>
      <c r="BC67" s="169">
        <v>2</v>
      </c>
      <c r="BD67" s="169">
        <v>3</v>
      </c>
      <c r="BE67" s="169">
        <v>4</v>
      </c>
      <c r="BF67" s="169">
        <v>5</v>
      </c>
      <c r="BG67" s="169">
        <v>6</v>
      </c>
      <c r="BH67" s="169">
        <v>7</v>
      </c>
      <c r="BI67" s="169">
        <v>8</v>
      </c>
      <c r="BJ67" s="169">
        <v>9</v>
      </c>
      <c r="BK67" s="169">
        <v>10</v>
      </c>
      <c r="BL67" s="169">
        <v>11</v>
      </c>
      <c r="BM67" s="169">
        <v>12</v>
      </c>
      <c r="BN67" s="169">
        <v>13</v>
      </c>
      <c r="BO67" s="169">
        <v>14</v>
      </c>
      <c r="BP67" s="169">
        <v>15</v>
      </c>
      <c r="BQ67" s="169">
        <v>16</v>
      </c>
      <c r="BR67" s="169">
        <v>17</v>
      </c>
      <c r="BS67" s="169">
        <v>18</v>
      </c>
      <c r="BT67" s="169">
        <v>19</v>
      </c>
      <c r="BU67" s="169">
        <v>20</v>
      </c>
      <c r="BV67" s="183" t="s">
        <v>151</v>
      </c>
      <c r="BW67" s="169" t="s">
        <v>152</v>
      </c>
      <c r="BX67" s="169" t="s">
        <v>153</v>
      </c>
    </row>
    <row r="68" spans="1:76" s="25" customFormat="1" ht="15.6" x14ac:dyDescent="0.3">
      <c r="A68" s="89"/>
      <c r="B68" s="263">
        <v>1</v>
      </c>
      <c r="C68" s="207" t="str">
        <f t="shared" ref="C68:C87" si="11">IF(D68="","",C11)</f>
        <v/>
      </c>
      <c r="D68" s="208" t="str">
        <f>IF(OR(K11=0, K11=""),"",D11)</f>
        <v/>
      </c>
      <c r="E68" s="209" t="str">
        <f t="shared" ref="E68:E88" si="12">IF(AX68="","",AX68)</f>
        <v/>
      </c>
      <c r="F68" s="693"/>
      <c r="G68" s="694"/>
      <c r="H68" s="163" t="str">
        <f t="shared" ref="H68:H87" si="13">IF(D68="","",AB68)</f>
        <v/>
      </c>
      <c r="I68" s="321" t="str">
        <f>IF(OR(K11="", K11=0),"",K11)</f>
        <v/>
      </c>
      <c r="J68" s="808" t="str">
        <f>IFERROR(IF(F68="","",VLOOKUP(F68,'10. Condition and Temporal'!$B$6:$F$103,5,FALSE)), "Error ▲")</f>
        <v/>
      </c>
      <c r="K68" s="809"/>
      <c r="L68" s="283" t="str">
        <f>IFERROR(IF(D68="","",IF(AX68="Distinctiveness",(((((I68*AH68*AJ68)-(I68*V68*X68))*(AV68*AT68))+(I68*V68*X68))*(AP68))/10000,((((I68*AJ68*AH68)-(I68*V68*X68))*(AV68*AR68))+(I68*V68*X68))*AP68/10000)),"Error ▲")</f>
        <v/>
      </c>
      <c r="M68" s="697" t="str">
        <f>IFERROR(IF(F68="","",L68-AD68), "Error ▲")</f>
        <v/>
      </c>
      <c r="N68" s="698"/>
      <c r="O68" s="210"/>
      <c r="P68" s="1"/>
      <c r="R68" s="741"/>
      <c r="T68" s="177" t="str">
        <f t="shared" ref="T68:T88" si="14">IF(D68="","",K11)</f>
        <v/>
      </c>
      <c r="U68" s="361" t="str">
        <f>IF($D68="","",T11)</f>
        <v/>
      </c>
      <c r="V68" s="363" t="str">
        <f t="shared" ref="V68:X88" si="15">IF($D68="","",V11)</f>
        <v/>
      </c>
      <c r="W68" s="361" t="str">
        <f t="shared" si="15"/>
        <v/>
      </c>
      <c r="X68" s="363" t="str">
        <f t="shared" si="15"/>
        <v/>
      </c>
      <c r="Y68" s="372"/>
      <c r="Z68" s="343"/>
      <c r="AA68" s="507"/>
      <c r="AB68" s="361" t="str">
        <f t="shared" ref="AB68:AB88" si="16">IF($D68="","",AB11)</f>
        <v/>
      </c>
      <c r="AC68" s="363" t="str">
        <f t="shared" ref="AC68:AC88" si="17">IF($D68="","",AD11)</f>
        <v/>
      </c>
      <c r="AD68" s="510" t="str">
        <f>IF(AC68="","",(T68*V68*X68)*AC68/10000)</f>
        <v/>
      </c>
      <c r="AE68" s="510" t="str">
        <f>IF(AD68="","",IF(AH68&lt;V68,"Not Acceptable","Acceptable"))</f>
        <v/>
      </c>
      <c r="AF68" s="510" t="str">
        <f t="shared" ref="AF68:AF88" si="18">IF(D68="","",I68)</f>
        <v/>
      </c>
      <c r="AG68" s="361" t="str">
        <f>IF(D68="","",VLOOKUP(F68,'9. All Habitats + Multipliers'!$C$4:$K$102,5,FALSE))</f>
        <v/>
      </c>
      <c r="AH68" s="513" t="str">
        <f>IF(AG68="","",VLOOKUP(AG68,'11. Lists'!$B$47:$D$49,2,FALSE))</f>
        <v/>
      </c>
      <c r="AI68" s="361" t="str">
        <f t="shared" ref="AI68:AI88" si="19">IF(D68="","",J68)</f>
        <v/>
      </c>
      <c r="AJ68" s="363" t="str">
        <f>IF(AI68="","",VLOOKUP(AI68,'11. Lists'!$F$47:$G$51,2,FALSE))</f>
        <v/>
      </c>
      <c r="AK68" s="515"/>
      <c r="AL68" s="362"/>
      <c r="AM68" s="518"/>
      <c r="AN68" s="361" t="str">
        <f t="shared" ref="AN68:AN88" si="20">IF(H68="","",H68)</f>
        <v/>
      </c>
      <c r="AO68" s="519" t="str">
        <f>IF(AN68="","",VLOOKUP(AN68,'11. Lists'!$F$36:$H$38,2,FALSE))</f>
        <v/>
      </c>
      <c r="AP68" s="363" t="str">
        <f>IF(AN68="","",VLOOKUP(AN68,'11. Lists'!$F$36:$H$38,3,FALSE))</f>
        <v/>
      </c>
      <c r="AQ68" s="361" t="str">
        <f>IF(D68="","",IF(AX68="Distinctiveness","N/A",VLOOKUP(F68,'10. Condition and Temporal'!$B$6:$L$103,11,FALSE)))</f>
        <v/>
      </c>
      <c r="AR68" s="520" t="str">
        <f>IF(AQ68="","",IF(AQ68="N/A","1",VLOOKUP(AQ68,'11. Lists'!$I$47:$K$80,3,FALSE)))</f>
        <v/>
      </c>
      <c r="AS68" s="523" t="str">
        <f>IF(D68="","",IF(AX68="Condition","N/A",VLOOKUP(F68,'10. Condition and Temporal'!$B$6:$M$106,12,FALSE)))</f>
        <v/>
      </c>
      <c r="AT68" s="520" t="str">
        <f>IF(AS68="","",IF(AS68="N/A","1",VLOOKUP(AS68,'11. Lists'!$I$47:$K$80,3,FALSE)))</f>
        <v/>
      </c>
      <c r="AU68" s="361" t="str">
        <f>IF(D68="","",VLOOKUP(F68,'9. All Habitats + Multipliers'!$C$4:$K$102,8,FALSE))</f>
        <v/>
      </c>
      <c r="AV68" s="363" t="str">
        <f>IF(AU68="","",VLOOKUP(AU68,'11. Lists'!$J$35:$K$38,2,FALSE))</f>
        <v/>
      </c>
      <c r="AW68" s="510" t="str">
        <f>IF(D68="","",VLOOKUP(D68,'10. Condition and Temporal'!$B$6:$M$103,4,FALSE))</f>
        <v/>
      </c>
      <c r="AX68" s="510" t="str">
        <f t="shared" ref="AX68:AX87" si="21">IF(F68="","",IF(D68=F68,"Condition","Distinctiveness"))</f>
        <v/>
      </c>
      <c r="AY68" s="462" t="str">
        <f>IF(COUNTIF(F68,"*grassland*"),"Grassland",IF(COUNTIF(F68,"*scree*"),"Sparsely vegetated land",C68))</f>
        <v/>
      </c>
      <c r="BA68" s="93">
        <v>1</v>
      </c>
      <c r="BB68" s="95" t="str">
        <f t="shared" ref="BB68:BB87" si="22">TRIM(MID(SUBSTITUTE($AW$68,$BA$64,REPT(" ",LEN($AW$68))),($BA68-1)*LEN($AW$68)+1,LEN($AW$68)))</f>
        <v/>
      </c>
      <c r="BC68" s="95" t="str">
        <f t="shared" ref="BC68:BC87" si="23">TRIM(MID(SUBSTITUTE($AW$69,$BA$64,REPT(" ",LEN($AW$69))),($BA68-1)*LEN($AW$69)+1,LEN($AW$69)))</f>
        <v/>
      </c>
      <c r="BD68" s="95" t="str">
        <f t="shared" ref="BD68:BD87" si="24">TRIM(MID(SUBSTITUTE($AW$70,$BA$64,REPT(" ",LEN($AW$70))),($BA68-1)*LEN($AW$70)+1,LEN($AW$70)))</f>
        <v/>
      </c>
      <c r="BE68" s="95" t="str">
        <f t="shared" ref="BE68:BE87" si="25">TRIM(MID(SUBSTITUTE($AW$71,$BA$64,REPT(" ",LEN($AW$71))),($BA68-1)*LEN($AW$71)+1,LEN($AW$71)))</f>
        <v>Modified grassland</v>
      </c>
      <c r="BF68" s="95" t="str">
        <f t="shared" ref="BF68:BF87" si="26">TRIM(MID(SUBSTITUTE($AW$72,$BA$64,REPT(" ",LEN($AW$72))),($BA68-1)*LEN($AW$72)+1,LEN($AW$72)))</f>
        <v/>
      </c>
      <c r="BG68" s="95" t="str">
        <f t="shared" ref="BG68:BG87" si="27">TRIM(MID(SUBSTITUTE($AW$73,$BA$64,REPT(" ",LEN($AW$73))),($BA68-1)*LEN($AW$73)+1,LEN($AW$73)))</f>
        <v/>
      </c>
      <c r="BH68" s="95" t="str">
        <f t="shared" ref="BH68:BH87" si="28">TRIM(MID(SUBSTITUTE($AW$74,$BA$64,REPT(" ",LEN($AW$74))),($BA68-1)*LEN($AW$74)+1,LEN($AW$74)))</f>
        <v/>
      </c>
      <c r="BI68" s="95" t="str">
        <f t="shared" ref="BI68:BI87" si="29">TRIM(MID(SUBSTITUTE($AW$75,$BA$64,REPT(" ",LEN($AW$75))),($BA68-1)*LEN($AW$75)+1,LEN($AW$75)))</f>
        <v/>
      </c>
      <c r="BJ68" s="95" t="str">
        <f t="shared" ref="BJ68:BJ87" si="30">TRIM(MID(SUBSTITUTE($AW$76,$BA$64,REPT(" ",LEN($AW$76))),($BA68-1)*LEN($AW$76)+1,LEN($AW$76)))</f>
        <v/>
      </c>
      <c r="BK68" s="95" t="str">
        <f t="shared" ref="BK68:BK87" si="31">TRIM(MID(SUBSTITUTE($AW$77,$BA$64,REPT(" ",LEN($AW$77))),($BA68-1)*LEN($AW$77)+1,LEN($AW$77)))</f>
        <v/>
      </c>
      <c r="BL68" s="95" t="str">
        <f t="shared" ref="BL68:BL87" si="32">TRIM(MID(SUBSTITUTE($AW$78,$BA$64,REPT(" ",LEN($AW$78))),($BA68-1)*LEN($AW$78)+1,LEN($AW$78)))</f>
        <v/>
      </c>
      <c r="BM68" s="95" t="str">
        <f t="shared" ref="BM68:BM87" si="33">TRIM(MID(SUBSTITUTE($AW$79,$BA$64,REPT(" ",LEN($AW$79))),($BA68-1)*LEN($AW$79)+1,LEN($AW$79)))</f>
        <v/>
      </c>
      <c r="BN68" s="95" t="str">
        <f t="shared" ref="BN68:BN87" si="34">TRIM(MID(SUBSTITUTE($AW$80,$BA$64,REPT(" ",LEN($AW$80))),($BA68-1)*LEN($AW$80)+1,LEN($AW$80)))</f>
        <v/>
      </c>
      <c r="BO68" s="95" t="str">
        <f t="shared" ref="BO68:BO87" si="35">TRIM(MID(SUBSTITUTE($AW$81,$BA$64,REPT(" ",LEN($AW$81))),($BA68-1)*LEN($AW$81)+1,LEN($AW$81)))</f>
        <v/>
      </c>
      <c r="BP68" s="95" t="str">
        <f t="shared" ref="BP68:BP87" si="36">TRIM(MID(SUBSTITUTE($AW$82,$BA$64,REPT(" ",LEN($AW$82))),($BA68-1)*LEN($AW$82)+1,LEN($AW$82)))</f>
        <v/>
      </c>
      <c r="BQ68" s="95" t="str">
        <f t="shared" ref="BQ68:BQ87" si="37">TRIM(MID(SUBSTITUTE($AW$83,$BA$64,REPT(" ",LEN($AW$83))),($BA68-1)*LEN($AW$83)+1,LEN($AW$83)))</f>
        <v/>
      </c>
      <c r="BR68" s="95" t="str">
        <f t="shared" ref="BR68:BR87" si="38">TRIM(MID(SUBSTITUTE($AW$84,$BA$64,REPT(" ",LEN($AW$84))),($BA68-1)*LEN($AW$84)+1,LEN($AW$84)))</f>
        <v/>
      </c>
      <c r="BS68" s="95" t="str">
        <f t="shared" ref="BS68:BS87" si="39">TRIM(MID(SUBSTITUTE($AW$85,$BA$64,REPT(" ",LEN($AW$85))),($BA68-1)*LEN($AW$85)+1,LEN($AW$85)))</f>
        <v/>
      </c>
      <c r="BT68" s="95" t="str">
        <f t="shared" ref="BT68:BT87" si="40">TRIM(MID(SUBSTITUTE($AW$86,$BA$64,REPT(" ",LEN($AW$86))),($BA68-1)*LEN($AW$86)+1,LEN($AW$86)))</f>
        <v/>
      </c>
      <c r="BU68" s="94" t="str">
        <f t="shared" ref="BU68:BU87" si="41">TRIM(MID(SUBSTITUTE($AW$87,$BA$64,REPT(" ",LEN($AW$87))),($BA68-1)*LEN($AW$87)+1,LEN($AW$87)))</f>
        <v/>
      </c>
      <c r="BV68" s="184" t="str">
        <f>IF(BX68=0,"",CONCATENATE(BW68,"68:",BW68,BX68+67))</f>
        <v/>
      </c>
      <c r="BW68" s="95" t="s">
        <v>154</v>
      </c>
      <c r="BX68" s="95">
        <f>BB66</f>
        <v>0</v>
      </c>
    </row>
    <row r="69" spans="1:76" s="25" customFormat="1" ht="15.6" x14ac:dyDescent="0.3">
      <c r="A69" s="89"/>
      <c r="B69" s="264">
        <v>2</v>
      </c>
      <c r="C69" s="119" t="str">
        <f t="shared" si="11"/>
        <v/>
      </c>
      <c r="D69" s="208" t="str">
        <f t="shared" ref="D69:D87" si="42">IF(OR(K12=0, K12=""),"",D12)</f>
        <v/>
      </c>
      <c r="E69" s="166" t="str">
        <f t="shared" si="12"/>
        <v/>
      </c>
      <c r="F69" s="826"/>
      <c r="G69" s="827"/>
      <c r="H69" s="163" t="str">
        <f t="shared" si="13"/>
        <v/>
      </c>
      <c r="I69" s="321" t="str">
        <f t="shared" ref="I69:I87" si="43">IF(OR(K12="", K12=0),"",K12)</f>
        <v/>
      </c>
      <c r="J69" s="808" t="str">
        <f>IFERROR(IF(F69="","",VLOOKUP(F69,'10. Condition and Temporal'!$B$6:$F$103,5,FALSE)), "Error ▲")</f>
        <v/>
      </c>
      <c r="K69" s="809"/>
      <c r="L69" s="283" t="str">
        <f t="shared" ref="L69:L87" si="44">IFERROR(IF(D69="","",IF(AX69="Distinctiveness",(((((I69*AH69*AJ69)-(I69*V69*X69))*(AV69*AT69))+(I69*V69*X69))*(AP69))/10000,((((I69*AJ69*AH69)-(I69*V69*X69))*(AV69*AR69))+(I69*V69*X69))*AP69/10000)),"Error ▲")</f>
        <v/>
      </c>
      <c r="M69" s="697" t="str">
        <f t="shared" ref="M69:M87" si="45">IFERROR(IF(F69="","",L69-AD69), "Error ▲")</f>
        <v/>
      </c>
      <c r="N69" s="698"/>
      <c r="O69" s="74"/>
      <c r="P69" s="12"/>
      <c r="R69" s="741"/>
      <c r="T69" s="177" t="str">
        <f t="shared" si="14"/>
        <v/>
      </c>
      <c r="U69" s="114" t="str">
        <f t="shared" ref="U69:U87" si="46">IF($D69="","",T12)</f>
        <v/>
      </c>
      <c r="V69" s="94" t="str">
        <f t="shared" si="15"/>
        <v/>
      </c>
      <c r="W69" s="93" t="str">
        <f t="shared" si="15"/>
        <v/>
      </c>
      <c r="X69" s="94" t="str">
        <f t="shared" si="15"/>
        <v/>
      </c>
      <c r="Y69" s="372"/>
      <c r="Z69" s="343"/>
      <c r="AA69" s="507"/>
      <c r="AB69" s="93" t="str">
        <f t="shared" si="16"/>
        <v/>
      </c>
      <c r="AC69" s="115" t="str">
        <f t="shared" si="17"/>
        <v/>
      </c>
      <c r="AD69" s="177" t="str">
        <f>IF(AC69="","",(T69*V69*X69)*AC69/10000)</f>
        <v/>
      </c>
      <c r="AE69" s="177" t="str">
        <f t="shared" ref="AE69:AE87" si="47">IF(AD69="","",IF(AH69&lt;V69,"Not Acceptable","Acceptable"))</f>
        <v/>
      </c>
      <c r="AF69" s="511" t="str">
        <f t="shared" si="18"/>
        <v/>
      </c>
      <c r="AG69" s="114" t="str">
        <f>IF(D69="","",VLOOKUP(F69,'9. All Habitats + Multipliers'!$C$4:$K$102,5,FALSE))</f>
        <v/>
      </c>
      <c r="AH69" s="344" t="str">
        <f>IF(AG69="","",VLOOKUP(AG69,'11. Lists'!$B$47:$D$49,2,FALSE))</f>
        <v/>
      </c>
      <c r="AI69" s="93" t="str">
        <f t="shared" si="19"/>
        <v/>
      </c>
      <c r="AJ69" s="94" t="str">
        <f>IF(AI69="","",VLOOKUP(AI69,'11. Lists'!$F$47:$G$51,2,FALSE))</f>
        <v/>
      </c>
      <c r="AK69" s="372"/>
      <c r="AL69" s="343"/>
      <c r="AM69" s="507"/>
      <c r="AN69" s="93" t="str">
        <f t="shared" si="20"/>
        <v/>
      </c>
      <c r="AO69" s="95" t="str">
        <f>IF(AN69="","",VLOOKUP(AN69,'11. Lists'!$F$36:$H$38,2,FALSE))</f>
        <v/>
      </c>
      <c r="AP69" s="94" t="str">
        <f>IF(AN69="","",VLOOKUP(AN69,'11. Lists'!$F$36:$H$38,3,FALSE))</f>
        <v/>
      </c>
      <c r="AQ69" s="114" t="str">
        <f>IF(D69="","",IF(AX69="Distinctiveness","N/A",VLOOKUP(F69,'10. Condition and Temporal'!$B$6:$L$103,11,FALSE)))</f>
        <v/>
      </c>
      <c r="AR69" s="118" t="str">
        <f>IF(AQ69="","",IF(AQ69="N/A","1",VLOOKUP(AQ69,'11. Lists'!$I$47:$K$80,3,FALSE)))</f>
        <v/>
      </c>
      <c r="AS69" s="524" t="str">
        <f>IF(D69="","",IF(AX69="Condition","N/A",VLOOKUP(F69,'10. Condition and Temporal'!$B$6:$M$106,12,FALSE)))</f>
        <v/>
      </c>
      <c r="AT69" s="118" t="str">
        <f>IF(AS69="","",IF(AS69="N/A","1",VLOOKUP(AS69,'11. Lists'!$I$47:$K$80,3,FALSE)))</f>
        <v/>
      </c>
      <c r="AU69" s="114" t="str">
        <f>IF(D69="","",VLOOKUP(F69,'9. All Habitats + Multipliers'!$C$4:$K$102,8,FALSE))</f>
        <v/>
      </c>
      <c r="AV69" s="115" t="str">
        <f>IF(AU69="","",VLOOKUP(AU69,'11. Lists'!$J$35:$K$38,2,FALSE))</f>
        <v/>
      </c>
      <c r="AW69" s="177" t="str">
        <f>IF(D69="","",VLOOKUP(D69,'10. Condition and Temporal'!$B$6:$M$103,4,FALSE))</f>
        <v/>
      </c>
      <c r="AX69" s="177" t="str">
        <f t="shared" si="21"/>
        <v/>
      </c>
      <c r="AY69" s="463" t="str">
        <f t="shared" ref="AY69:AY87" si="48">IF(COUNTIF(F69,"*grassland*"),"Grassland",IF(COUNTIF(F69,"*scree*"),"Sparsely vegetated land",C69))</f>
        <v/>
      </c>
      <c r="BA69" s="93">
        <v>2</v>
      </c>
      <c r="BB69" s="95" t="str">
        <f t="shared" si="22"/>
        <v/>
      </c>
      <c r="BC69" s="95" t="str">
        <f t="shared" si="23"/>
        <v/>
      </c>
      <c r="BD69" s="95" t="str">
        <f t="shared" si="24"/>
        <v/>
      </c>
      <c r="BE69" s="95" t="str">
        <f t="shared" si="25"/>
        <v>Other lowland acid grassland</v>
      </c>
      <c r="BF69" s="95" t="str">
        <f t="shared" si="26"/>
        <v/>
      </c>
      <c r="BG69" s="95" t="str">
        <f t="shared" si="27"/>
        <v/>
      </c>
      <c r="BH69" s="95" t="str">
        <f t="shared" si="28"/>
        <v/>
      </c>
      <c r="BI69" s="95" t="str">
        <f t="shared" si="29"/>
        <v/>
      </c>
      <c r="BJ69" s="95" t="str">
        <f t="shared" si="30"/>
        <v/>
      </c>
      <c r="BK69" s="95" t="str">
        <f t="shared" si="31"/>
        <v/>
      </c>
      <c r="BL69" s="95" t="str">
        <f t="shared" si="32"/>
        <v/>
      </c>
      <c r="BM69" s="95" t="str">
        <f t="shared" si="33"/>
        <v/>
      </c>
      <c r="BN69" s="95" t="str">
        <f t="shared" si="34"/>
        <v/>
      </c>
      <c r="BO69" s="95" t="str">
        <f t="shared" si="35"/>
        <v/>
      </c>
      <c r="BP69" s="95" t="str">
        <f t="shared" si="36"/>
        <v/>
      </c>
      <c r="BQ69" s="95" t="str">
        <f t="shared" si="37"/>
        <v/>
      </c>
      <c r="BR69" s="95" t="str">
        <f t="shared" si="38"/>
        <v/>
      </c>
      <c r="BS69" s="95" t="str">
        <f t="shared" si="39"/>
        <v/>
      </c>
      <c r="BT69" s="95" t="str">
        <f t="shared" si="40"/>
        <v/>
      </c>
      <c r="BU69" s="94" t="str">
        <f t="shared" si="41"/>
        <v/>
      </c>
      <c r="BV69" s="184" t="str">
        <f t="shared" ref="BV69:BV87" si="49">IF(BX69=0,"",CONCATENATE(BW69,"68:",BW69,BX69+67))</f>
        <v/>
      </c>
      <c r="BW69" s="95" t="s">
        <v>155</v>
      </c>
      <c r="BX69" s="95">
        <f>BC66</f>
        <v>0</v>
      </c>
    </row>
    <row r="70" spans="1:76" s="25" customFormat="1" ht="15.6" x14ac:dyDescent="0.3">
      <c r="A70" s="89"/>
      <c r="B70" s="264">
        <v>3</v>
      </c>
      <c r="C70" s="119" t="str">
        <f t="shared" si="11"/>
        <v/>
      </c>
      <c r="D70" s="208" t="str">
        <f t="shared" si="42"/>
        <v/>
      </c>
      <c r="E70" s="166" t="str">
        <f t="shared" si="12"/>
        <v/>
      </c>
      <c r="F70" s="826"/>
      <c r="G70" s="827"/>
      <c r="H70" s="163" t="str">
        <f t="shared" si="13"/>
        <v/>
      </c>
      <c r="I70" s="321" t="str">
        <f t="shared" si="43"/>
        <v/>
      </c>
      <c r="J70" s="808" t="str">
        <f>IFERROR(IF(F70="","",VLOOKUP(F70,'10. Condition and Temporal'!$B$6:$F$103,5,FALSE)), "Error ▲")</f>
        <v/>
      </c>
      <c r="K70" s="809"/>
      <c r="L70" s="283" t="str">
        <f t="shared" si="44"/>
        <v/>
      </c>
      <c r="M70" s="697" t="str">
        <f t="shared" si="45"/>
        <v/>
      </c>
      <c r="N70" s="698"/>
      <c r="O70" s="74"/>
      <c r="P70" s="12"/>
      <c r="R70" s="741"/>
      <c r="T70" s="177" t="str">
        <f t="shared" si="14"/>
        <v/>
      </c>
      <c r="U70" s="114" t="str">
        <f t="shared" si="46"/>
        <v/>
      </c>
      <c r="V70" s="94" t="str">
        <f t="shared" si="15"/>
        <v/>
      </c>
      <c r="W70" s="93" t="str">
        <f t="shared" si="15"/>
        <v/>
      </c>
      <c r="X70" s="94" t="str">
        <f t="shared" si="15"/>
        <v/>
      </c>
      <c r="Y70" s="372"/>
      <c r="Z70" s="343"/>
      <c r="AA70" s="507"/>
      <c r="AB70" s="93" t="str">
        <f t="shared" si="16"/>
        <v/>
      </c>
      <c r="AC70" s="115" t="str">
        <f t="shared" si="17"/>
        <v/>
      </c>
      <c r="AD70" s="177" t="str">
        <f t="shared" ref="AD70:AD87" si="50">IF(AC70="","",(T70*V70*X70)*AC70/10000)</f>
        <v/>
      </c>
      <c r="AE70" s="177" t="str">
        <f t="shared" si="47"/>
        <v/>
      </c>
      <c r="AF70" s="511" t="str">
        <f t="shared" si="18"/>
        <v/>
      </c>
      <c r="AG70" s="114" t="str">
        <f>IF(D70="","",VLOOKUP(F70,'9. All Habitats + Multipliers'!$C$4:$K$102,5,FALSE))</f>
        <v/>
      </c>
      <c r="AH70" s="344" t="str">
        <f>IF(AG70="","",VLOOKUP(AG70,'11. Lists'!$B$47:$D$49,2,FALSE))</f>
        <v/>
      </c>
      <c r="AI70" s="93" t="str">
        <f t="shared" si="19"/>
        <v/>
      </c>
      <c r="AJ70" s="94" t="str">
        <f>IF(AI70="","",VLOOKUP(AI70,'11. Lists'!$F$47:$G$51,2,FALSE))</f>
        <v/>
      </c>
      <c r="AK70" s="372"/>
      <c r="AL70" s="343"/>
      <c r="AM70" s="507"/>
      <c r="AN70" s="93" t="str">
        <f t="shared" si="20"/>
        <v/>
      </c>
      <c r="AO70" s="95" t="str">
        <f>IF(AN70="","",VLOOKUP(AN70,'11. Lists'!$F$36:$H$38,2,FALSE))</f>
        <v/>
      </c>
      <c r="AP70" s="94" t="str">
        <f>IF(AN70="","",VLOOKUP(AN70,'11. Lists'!$F$36:$H$38,3,FALSE))</f>
        <v/>
      </c>
      <c r="AQ70" s="114" t="str">
        <f>IF(D70="","",IF(AX70="Distinctiveness","N/A",VLOOKUP(F70,'10. Condition and Temporal'!$B$6:$L$103,11,FALSE)))</f>
        <v/>
      </c>
      <c r="AR70" s="118" t="str">
        <f>IF(AQ70="","",IF(AQ70="N/A","1",VLOOKUP(AQ70,'11. Lists'!$I$47:$K$80,3,FALSE)))</f>
        <v/>
      </c>
      <c r="AS70" s="524" t="str">
        <f>IF(D70="","",IF(AX70="Condition","N/A",VLOOKUP(F70,'10. Condition and Temporal'!$B$6:$M$106,12,FALSE)))</f>
        <v/>
      </c>
      <c r="AT70" s="118" t="str">
        <f>IF(AS70="","",IF(AS70="N/A","1",VLOOKUP(AS70,'11. Lists'!$I$47:$K$80,3,FALSE)))</f>
        <v/>
      </c>
      <c r="AU70" s="114" t="str">
        <f>IF(D70="","",VLOOKUP(F70,'9. All Habitats + Multipliers'!$C$4:$K$102,8,FALSE))</f>
        <v/>
      </c>
      <c r="AV70" s="115" t="str">
        <f>IF(AU70="","",VLOOKUP(AU70,'11. Lists'!$J$35:$K$38,2,FALSE))</f>
        <v/>
      </c>
      <c r="AW70" s="177" t="str">
        <f>IF(D70="","",VLOOKUP(D70,'10. Condition and Temporal'!$B$6:$M$103,4,FALSE))</f>
        <v/>
      </c>
      <c r="AX70" s="177" t="str">
        <f t="shared" si="21"/>
        <v/>
      </c>
      <c r="AY70" s="463" t="str">
        <f t="shared" si="48"/>
        <v/>
      </c>
      <c r="BA70" s="93">
        <v>3</v>
      </c>
      <c r="BB70" s="95" t="str">
        <f t="shared" si="22"/>
        <v/>
      </c>
      <c r="BC70" s="95" t="str">
        <f t="shared" si="23"/>
        <v/>
      </c>
      <c r="BD70" s="95" t="str">
        <f t="shared" si="24"/>
        <v/>
      </c>
      <c r="BE70" s="95" t="str">
        <f t="shared" si="25"/>
        <v>Other neutral grassland</v>
      </c>
      <c r="BF70" s="95" t="str">
        <f t="shared" si="26"/>
        <v/>
      </c>
      <c r="BG70" s="95" t="str">
        <f t="shared" si="27"/>
        <v/>
      </c>
      <c r="BH70" s="95" t="str">
        <f t="shared" si="28"/>
        <v/>
      </c>
      <c r="BI70" s="95" t="str">
        <f t="shared" si="29"/>
        <v/>
      </c>
      <c r="BJ70" s="95" t="str">
        <f t="shared" si="30"/>
        <v/>
      </c>
      <c r="BK70" s="95" t="str">
        <f t="shared" si="31"/>
        <v/>
      </c>
      <c r="BL70" s="95" t="str">
        <f t="shared" si="32"/>
        <v/>
      </c>
      <c r="BM70" s="95" t="str">
        <f t="shared" si="33"/>
        <v/>
      </c>
      <c r="BN70" s="95" t="str">
        <f t="shared" si="34"/>
        <v/>
      </c>
      <c r="BO70" s="95" t="str">
        <f t="shared" si="35"/>
        <v/>
      </c>
      <c r="BP70" s="95" t="str">
        <f t="shared" si="36"/>
        <v/>
      </c>
      <c r="BQ70" s="95" t="str">
        <f t="shared" si="37"/>
        <v/>
      </c>
      <c r="BR70" s="95" t="str">
        <f t="shared" si="38"/>
        <v/>
      </c>
      <c r="BS70" s="95" t="str">
        <f t="shared" si="39"/>
        <v/>
      </c>
      <c r="BT70" s="95" t="str">
        <f t="shared" si="40"/>
        <v/>
      </c>
      <c r="BU70" s="94" t="str">
        <f t="shared" si="41"/>
        <v/>
      </c>
      <c r="BV70" s="184" t="str">
        <f t="shared" si="49"/>
        <v/>
      </c>
      <c r="BW70" s="95" t="s">
        <v>156</v>
      </c>
      <c r="BX70" s="95">
        <f>BD66</f>
        <v>0</v>
      </c>
    </row>
    <row r="71" spans="1:76" s="25" customFormat="1" ht="57.6" x14ac:dyDescent="0.3">
      <c r="A71" s="89"/>
      <c r="B71" s="264">
        <v>4</v>
      </c>
      <c r="C71" s="119" t="str">
        <f t="shared" si="11"/>
        <v>Grassland</v>
      </c>
      <c r="D71" s="208" t="str">
        <f t="shared" si="42"/>
        <v>Modified grassland</v>
      </c>
      <c r="E71" s="166" t="str">
        <f t="shared" si="12"/>
        <v>Distinctiveness</v>
      </c>
      <c r="F71" s="826" t="s">
        <v>307</v>
      </c>
      <c r="G71" s="827"/>
      <c r="H71" s="163" t="str">
        <f t="shared" si="13"/>
        <v>Area/compensation not in local strategy/ no local strategy</v>
      </c>
      <c r="I71" s="321">
        <f t="shared" si="43"/>
        <v>898.7</v>
      </c>
      <c r="J71" s="808" t="str">
        <f>IFERROR(IF(F71="","",VLOOKUP(F71,'10. Condition and Temporal'!$B$6:$F$103,5,FALSE)), "Error ▲")</f>
        <v>Good</v>
      </c>
      <c r="K71" s="809"/>
      <c r="L71" s="283">
        <f t="shared" si="44"/>
        <v>0.78080228300228005</v>
      </c>
      <c r="M71" s="697">
        <f t="shared" si="45"/>
        <v>0.42132228300228003</v>
      </c>
      <c r="N71" s="698"/>
      <c r="O71" s="74"/>
      <c r="P71" s="12"/>
      <c r="R71" s="741"/>
      <c r="T71" s="177">
        <f t="shared" si="14"/>
        <v>898.7</v>
      </c>
      <c r="U71" s="114" t="str">
        <f t="shared" si="46"/>
        <v>Low</v>
      </c>
      <c r="V71" s="94">
        <f t="shared" si="15"/>
        <v>2</v>
      </c>
      <c r="W71" s="93" t="str">
        <f t="shared" si="15"/>
        <v>Moderate</v>
      </c>
      <c r="X71" s="94">
        <f t="shared" si="15"/>
        <v>2</v>
      </c>
      <c r="Y71" s="372"/>
      <c r="Z71" s="343"/>
      <c r="AA71" s="507"/>
      <c r="AB71" s="93" t="str">
        <f t="shared" si="16"/>
        <v>Area/compensation not in local strategy/ no local strategy</v>
      </c>
      <c r="AC71" s="115">
        <f t="shared" si="17"/>
        <v>1</v>
      </c>
      <c r="AD71" s="177">
        <f t="shared" si="50"/>
        <v>0.35948000000000002</v>
      </c>
      <c r="AE71" s="177" t="str">
        <f t="shared" si="47"/>
        <v>Acceptable</v>
      </c>
      <c r="AF71" s="511">
        <f t="shared" si="18"/>
        <v>898.7</v>
      </c>
      <c r="AG71" s="114" t="str">
        <f>IF(D71="","",VLOOKUP(F71,'9. All Habitats + Multipliers'!$C$4:$K$102,5,FALSE))</f>
        <v>Medium</v>
      </c>
      <c r="AH71" s="344">
        <f>IF(AG71="","",VLOOKUP(AG71,'11. Lists'!$B$47:$D$49,2,FALSE))</f>
        <v>4</v>
      </c>
      <c r="AI71" s="93" t="str">
        <f t="shared" si="19"/>
        <v>Good</v>
      </c>
      <c r="AJ71" s="94">
        <f>IF(AI71="","",VLOOKUP(AI71,'11. Lists'!$F$47:$G$51,2,FALSE))</f>
        <v>3</v>
      </c>
      <c r="AK71" s="372"/>
      <c r="AL71" s="343"/>
      <c r="AM71" s="507"/>
      <c r="AN71" s="93" t="str">
        <f t="shared" si="20"/>
        <v>Area/compensation not in local strategy/ no local strategy</v>
      </c>
      <c r="AO71" s="95" t="str">
        <f>IF(AN71="","",VLOOKUP(AN71,'11. Lists'!$F$36:$H$38,2,FALSE))</f>
        <v>Low Strategic Significance</v>
      </c>
      <c r="AP71" s="94">
        <f>IF(AN71="","",VLOOKUP(AN71,'11. Lists'!$F$36:$H$38,3,FALSE))</f>
        <v>1</v>
      </c>
      <c r="AQ71" s="114" t="str">
        <f>IF(D71="","",IF(AX71="Distinctiveness","N/A",VLOOKUP(F71,'10. Condition and Temporal'!$B$6:$L$103,11,FALSE)))</f>
        <v>N/A</v>
      </c>
      <c r="AR71" s="118" t="str">
        <f>IF(AQ71="","",IF(AQ71="N/A","1",VLOOKUP(AQ71,'11. Lists'!$I$47:$K$80,3,FALSE)))</f>
        <v>1</v>
      </c>
      <c r="AS71" s="524">
        <f>IF(D71="","",IF(AX71="Condition","N/A",VLOOKUP(F71,'10. Condition and Temporal'!$B$6:$M$106,12,FALSE)))</f>
        <v>15</v>
      </c>
      <c r="AT71" s="118">
        <f>IF(AS71="","",IF(AS71="N/A","1",VLOOKUP(AS71,'11. Lists'!$I$47:$K$80,3,FALSE)))</f>
        <v>0.58601630550000006</v>
      </c>
      <c r="AU71" s="114" t="str">
        <f>IF(D71="","",VLOOKUP(F71,'9. All Habitats + Multipliers'!$C$4:$K$102,8,FALSE))</f>
        <v>Low</v>
      </c>
      <c r="AV71" s="115">
        <f>IF(AU71="","",VLOOKUP(AU71,'11. Lists'!$J$35:$K$38,2,FALSE))</f>
        <v>1</v>
      </c>
      <c r="AW71" s="177" t="str">
        <f>IF(D71="","",VLOOKUP(D71,'10. Condition and Temporal'!$B$6:$M$103,4,FALSE))</f>
        <v>Modified grassland, Other lowland acid grassland, Other neutral grassland, Upland acid grassland</v>
      </c>
      <c r="AX71" s="177" t="str">
        <f t="shared" si="21"/>
        <v>Distinctiveness</v>
      </c>
      <c r="AY71" s="463" t="str">
        <f t="shared" si="48"/>
        <v>Grassland</v>
      </c>
      <c r="BA71" s="93">
        <v>4</v>
      </c>
      <c r="BB71" s="95" t="str">
        <f t="shared" si="22"/>
        <v/>
      </c>
      <c r="BC71" s="95" t="str">
        <f t="shared" si="23"/>
        <v/>
      </c>
      <c r="BD71" s="95" t="str">
        <f t="shared" si="24"/>
        <v/>
      </c>
      <c r="BE71" s="95" t="str">
        <f t="shared" si="25"/>
        <v>Upland acid grassland</v>
      </c>
      <c r="BF71" s="95" t="str">
        <f t="shared" si="26"/>
        <v/>
      </c>
      <c r="BG71" s="95" t="str">
        <f t="shared" si="27"/>
        <v/>
      </c>
      <c r="BH71" s="95" t="str">
        <f t="shared" si="28"/>
        <v/>
      </c>
      <c r="BI71" s="95" t="str">
        <f t="shared" si="29"/>
        <v/>
      </c>
      <c r="BJ71" s="95" t="str">
        <f t="shared" si="30"/>
        <v/>
      </c>
      <c r="BK71" s="95" t="str">
        <f t="shared" si="31"/>
        <v/>
      </c>
      <c r="BL71" s="95" t="str">
        <f t="shared" si="32"/>
        <v/>
      </c>
      <c r="BM71" s="95" t="str">
        <f t="shared" si="33"/>
        <v/>
      </c>
      <c r="BN71" s="95" t="str">
        <f t="shared" si="34"/>
        <v/>
      </c>
      <c r="BO71" s="95" t="str">
        <f t="shared" si="35"/>
        <v/>
      </c>
      <c r="BP71" s="95" t="str">
        <f t="shared" si="36"/>
        <v/>
      </c>
      <c r="BQ71" s="95" t="str">
        <f t="shared" si="37"/>
        <v/>
      </c>
      <c r="BR71" s="95" t="str">
        <f t="shared" si="38"/>
        <v/>
      </c>
      <c r="BS71" s="95" t="str">
        <f t="shared" si="39"/>
        <v/>
      </c>
      <c r="BT71" s="95" t="str">
        <f t="shared" si="40"/>
        <v/>
      </c>
      <c r="BU71" s="94" t="str">
        <f t="shared" si="41"/>
        <v/>
      </c>
      <c r="BV71" s="184" t="str">
        <f t="shared" si="49"/>
        <v>BE68:BE71</v>
      </c>
      <c r="BW71" s="95" t="s">
        <v>157</v>
      </c>
      <c r="BX71" s="95">
        <f>BE66</f>
        <v>4</v>
      </c>
    </row>
    <row r="72" spans="1:76" s="25" customFormat="1" ht="15.6" x14ac:dyDescent="0.3">
      <c r="A72" s="89"/>
      <c r="B72" s="264">
        <v>5</v>
      </c>
      <c r="C72" s="119" t="str">
        <f t="shared" si="11"/>
        <v/>
      </c>
      <c r="D72" s="208" t="str">
        <f t="shared" si="42"/>
        <v/>
      </c>
      <c r="E72" s="166" t="str">
        <f t="shared" si="12"/>
        <v/>
      </c>
      <c r="F72" s="826"/>
      <c r="G72" s="827"/>
      <c r="H72" s="163" t="str">
        <f t="shared" si="13"/>
        <v/>
      </c>
      <c r="I72" s="321" t="str">
        <f t="shared" si="43"/>
        <v/>
      </c>
      <c r="J72" s="808" t="str">
        <f>IFERROR(IF(F72="","",VLOOKUP(F72,'10. Condition and Temporal'!$B$6:$F$103,5,FALSE)), "Error ▲")</f>
        <v/>
      </c>
      <c r="K72" s="809"/>
      <c r="L72" s="283" t="str">
        <f t="shared" si="44"/>
        <v/>
      </c>
      <c r="M72" s="697" t="str">
        <f t="shared" si="45"/>
        <v/>
      </c>
      <c r="N72" s="698"/>
      <c r="O72" s="74"/>
      <c r="P72" s="12"/>
      <c r="R72" s="741"/>
      <c r="T72" s="177" t="str">
        <f t="shared" si="14"/>
        <v/>
      </c>
      <c r="U72" s="114" t="str">
        <f t="shared" si="46"/>
        <v/>
      </c>
      <c r="V72" s="94" t="str">
        <f t="shared" si="15"/>
        <v/>
      </c>
      <c r="W72" s="93" t="str">
        <f t="shared" si="15"/>
        <v/>
      </c>
      <c r="X72" s="94" t="str">
        <f t="shared" si="15"/>
        <v/>
      </c>
      <c r="Y72" s="372"/>
      <c r="Z72" s="343"/>
      <c r="AA72" s="507"/>
      <c r="AB72" s="93" t="str">
        <f t="shared" si="16"/>
        <v/>
      </c>
      <c r="AC72" s="115" t="str">
        <f t="shared" si="17"/>
        <v/>
      </c>
      <c r="AD72" s="177" t="str">
        <f t="shared" si="50"/>
        <v/>
      </c>
      <c r="AE72" s="177" t="str">
        <f t="shared" si="47"/>
        <v/>
      </c>
      <c r="AF72" s="511" t="str">
        <f t="shared" si="18"/>
        <v/>
      </c>
      <c r="AG72" s="114" t="str">
        <f>IF(D72="","",VLOOKUP(F72,'9. All Habitats + Multipliers'!$C$4:$K$102,5,FALSE))</f>
        <v/>
      </c>
      <c r="AH72" s="344" t="str">
        <f>IF(AG72="","",VLOOKUP(AG72,'11. Lists'!$B$47:$D$49,2,FALSE))</f>
        <v/>
      </c>
      <c r="AI72" s="93" t="str">
        <f t="shared" si="19"/>
        <v/>
      </c>
      <c r="AJ72" s="94" t="str">
        <f>IF(AI72="","",VLOOKUP(AI72,'11. Lists'!$F$47:$G$51,2,FALSE))</f>
        <v/>
      </c>
      <c r="AK72" s="372"/>
      <c r="AL72" s="343"/>
      <c r="AM72" s="507"/>
      <c r="AN72" s="93" t="str">
        <f t="shared" si="20"/>
        <v/>
      </c>
      <c r="AO72" s="95" t="str">
        <f>IF(AN72="","",VLOOKUP(AN72,'11. Lists'!$F$36:$H$38,2,FALSE))</f>
        <v/>
      </c>
      <c r="AP72" s="94" t="str">
        <f>IF(AN72="","",VLOOKUP(AN72,'11. Lists'!$F$36:$H$38,3,FALSE))</f>
        <v/>
      </c>
      <c r="AQ72" s="114" t="str">
        <f>IF(D72="","",IF(AX72="Distinctiveness","N/A",VLOOKUP(F72,'10. Condition and Temporal'!$B$6:$L$103,11,FALSE)))</f>
        <v/>
      </c>
      <c r="AR72" s="118" t="str">
        <f>IF(AQ72="","",IF(AQ72="N/A","1",VLOOKUP(AQ72,'11. Lists'!$I$47:$K$80,3,FALSE)))</f>
        <v/>
      </c>
      <c r="AS72" s="524" t="str">
        <f>IF(D72="","",IF(AX72="Condition","N/A",VLOOKUP(F72,'10. Condition and Temporal'!$B$6:$M$106,12,FALSE)))</f>
        <v/>
      </c>
      <c r="AT72" s="118" t="str">
        <f>IF(AS72="","",IF(AS72="N/A","1",VLOOKUP(AS72,'11. Lists'!$I$47:$K$80,3,FALSE)))</f>
        <v/>
      </c>
      <c r="AU72" s="114" t="str">
        <f>IF(D72="","",VLOOKUP(F72,'9. All Habitats + Multipliers'!$C$4:$K$102,8,FALSE))</f>
        <v/>
      </c>
      <c r="AV72" s="115" t="str">
        <f>IF(AU72="","",VLOOKUP(AU72,'11. Lists'!$J$35:$K$38,2,FALSE))</f>
        <v/>
      </c>
      <c r="AW72" s="177" t="str">
        <f>IF(D72="","",VLOOKUP(D72,'10. Condition and Temporal'!$B$6:$M$103,4,FALSE))</f>
        <v/>
      </c>
      <c r="AX72" s="177" t="str">
        <f t="shared" si="21"/>
        <v/>
      </c>
      <c r="AY72" s="463" t="str">
        <f t="shared" si="48"/>
        <v/>
      </c>
      <c r="BA72" s="93">
        <v>5</v>
      </c>
      <c r="BB72" s="95" t="str">
        <f t="shared" si="22"/>
        <v/>
      </c>
      <c r="BC72" s="95" t="str">
        <f t="shared" si="23"/>
        <v/>
      </c>
      <c r="BD72" s="95" t="str">
        <f t="shared" si="24"/>
        <v/>
      </c>
      <c r="BE72" s="95" t="str">
        <f t="shared" si="25"/>
        <v/>
      </c>
      <c r="BF72" s="95" t="str">
        <f t="shared" si="26"/>
        <v/>
      </c>
      <c r="BG72" s="95" t="str">
        <f t="shared" si="27"/>
        <v/>
      </c>
      <c r="BH72" s="95" t="str">
        <f t="shared" si="28"/>
        <v/>
      </c>
      <c r="BI72" s="95" t="str">
        <f t="shared" si="29"/>
        <v/>
      </c>
      <c r="BJ72" s="95" t="str">
        <f t="shared" si="30"/>
        <v/>
      </c>
      <c r="BK72" s="95" t="str">
        <f t="shared" si="31"/>
        <v/>
      </c>
      <c r="BL72" s="95" t="str">
        <f t="shared" si="32"/>
        <v/>
      </c>
      <c r="BM72" s="95" t="str">
        <f t="shared" si="33"/>
        <v/>
      </c>
      <c r="BN72" s="95" t="str">
        <f t="shared" si="34"/>
        <v/>
      </c>
      <c r="BO72" s="95" t="str">
        <f t="shared" si="35"/>
        <v/>
      </c>
      <c r="BP72" s="95" t="str">
        <f t="shared" si="36"/>
        <v/>
      </c>
      <c r="BQ72" s="95" t="str">
        <f t="shared" si="37"/>
        <v/>
      </c>
      <c r="BR72" s="95" t="str">
        <f t="shared" si="38"/>
        <v/>
      </c>
      <c r="BS72" s="95" t="str">
        <f t="shared" si="39"/>
        <v/>
      </c>
      <c r="BT72" s="95" t="str">
        <f t="shared" si="40"/>
        <v/>
      </c>
      <c r="BU72" s="94" t="str">
        <f t="shared" si="41"/>
        <v/>
      </c>
      <c r="BV72" s="184" t="str">
        <f t="shared" si="49"/>
        <v/>
      </c>
      <c r="BW72" s="95" t="s">
        <v>158</v>
      </c>
      <c r="BX72" s="95">
        <f>BF66</f>
        <v>0</v>
      </c>
    </row>
    <row r="73" spans="1:76" s="25" customFormat="1" ht="15.6" x14ac:dyDescent="0.3">
      <c r="A73" s="89"/>
      <c r="B73" s="264">
        <v>6</v>
      </c>
      <c r="C73" s="119" t="str">
        <f t="shared" si="11"/>
        <v/>
      </c>
      <c r="D73" s="208" t="str">
        <f t="shared" si="42"/>
        <v/>
      </c>
      <c r="E73" s="166" t="str">
        <f t="shared" si="12"/>
        <v/>
      </c>
      <c r="F73" s="826"/>
      <c r="G73" s="827"/>
      <c r="H73" s="163" t="str">
        <f t="shared" si="13"/>
        <v/>
      </c>
      <c r="I73" s="321" t="str">
        <f t="shared" si="43"/>
        <v/>
      </c>
      <c r="J73" s="808" t="str">
        <f>IFERROR(IF(F73="","",VLOOKUP(F73,'10. Condition and Temporal'!$B$6:$F$103,5,FALSE)), "Error ▲")</f>
        <v/>
      </c>
      <c r="K73" s="809"/>
      <c r="L73" s="283" t="str">
        <f t="shared" si="44"/>
        <v/>
      </c>
      <c r="M73" s="697" t="str">
        <f t="shared" si="45"/>
        <v/>
      </c>
      <c r="N73" s="698"/>
      <c r="O73" s="74"/>
      <c r="P73" s="12"/>
      <c r="R73" s="741"/>
      <c r="T73" s="177" t="str">
        <f t="shared" si="14"/>
        <v/>
      </c>
      <c r="U73" s="114" t="str">
        <f t="shared" si="46"/>
        <v/>
      </c>
      <c r="V73" s="94" t="str">
        <f t="shared" si="15"/>
        <v/>
      </c>
      <c r="W73" s="93" t="str">
        <f t="shared" si="15"/>
        <v/>
      </c>
      <c r="X73" s="94" t="str">
        <f t="shared" si="15"/>
        <v/>
      </c>
      <c r="Y73" s="372"/>
      <c r="Z73" s="343"/>
      <c r="AA73" s="507"/>
      <c r="AB73" s="93" t="str">
        <f t="shared" si="16"/>
        <v/>
      </c>
      <c r="AC73" s="115" t="str">
        <f t="shared" si="17"/>
        <v/>
      </c>
      <c r="AD73" s="177" t="str">
        <f t="shared" si="50"/>
        <v/>
      </c>
      <c r="AE73" s="177" t="str">
        <f t="shared" si="47"/>
        <v/>
      </c>
      <c r="AF73" s="511" t="str">
        <f t="shared" si="18"/>
        <v/>
      </c>
      <c r="AG73" s="114" t="str">
        <f>IF(D73="","",VLOOKUP(F73,'9. All Habitats + Multipliers'!$C$4:$K$102,5,FALSE))</f>
        <v/>
      </c>
      <c r="AH73" s="344" t="str">
        <f>IF(AG73="","",VLOOKUP(AG73,'11. Lists'!$B$47:$D$49,2,FALSE))</f>
        <v/>
      </c>
      <c r="AI73" s="93" t="str">
        <f t="shared" si="19"/>
        <v/>
      </c>
      <c r="AJ73" s="94" t="str">
        <f>IF(AI73="","",VLOOKUP(AI73,'11. Lists'!$F$47:$G$51,2,FALSE))</f>
        <v/>
      </c>
      <c r="AK73" s="372"/>
      <c r="AL73" s="343"/>
      <c r="AM73" s="507"/>
      <c r="AN73" s="93" t="str">
        <f t="shared" si="20"/>
        <v/>
      </c>
      <c r="AO73" s="95" t="str">
        <f>IF(AN73="","",VLOOKUP(AN73,'11. Lists'!$F$36:$H$38,2,FALSE))</f>
        <v/>
      </c>
      <c r="AP73" s="94" t="str">
        <f>IF(AN73="","",VLOOKUP(AN73,'11. Lists'!$F$36:$H$38,3,FALSE))</f>
        <v/>
      </c>
      <c r="AQ73" s="114" t="str">
        <f>IF(D73="","",IF(AX73="Distinctiveness","N/A",VLOOKUP(F73,'10. Condition and Temporal'!$B$6:$L$103,11,FALSE)))</f>
        <v/>
      </c>
      <c r="AR73" s="118" t="str">
        <f>IF(AQ73="","",IF(AQ73="N/A","1",VLOOKUP(AQ73,'11. Lists'!$I$47:$K$80,3,FALSE)))</f>
        <v/>
      </c>
      <c r="AS73" s="524" t="str">
        <f>IF(D73="","",IF(AX73="Condition","N/A",VLOOKUP(F73,'10. Condition and Temporal'!$B$6:$M$106,12,FALSE)))</f>
        <v/>
      </c>
      <c r="AT73" s="118" t="str">
        <f>IF(AS73="","",IF(AS73="N/A","1",VLOOKUP(AS73,'11. Lists'!$I$47:$K$80,3,FALSE)))</f>
        <v/>
      </c>
      <c r="AU73" s="114" t="str">
        <f>IF(D73="","",VLOOKUP(F73,'9. All Habitats + Multipliers'!$C$4:$K$102,8,FALSE))</f>
        <v/>
      </c>
      <c r="AV73" s="115" t="str">
        <f>IF(AU73="","",VLOOKUP(AU73,'11. Lists'!$J$35:$K$38,2,FALSE))</f>
        <v/>
      </c>
      <c r="AW73" s="177" t="str">
        <f>IF(D73="","",VLOOKUP(D73,'10. Condition and Temporal'!$B$6:$M$103,4,FALSE))</f>
        <v/>
      </c>
      <c r="AX73" s="177" t="str">
        <f t="shared" si="21"/>
        <v/>
      </c>
      <c r="AY73" s="463" t="str">
        <f t="shared" si="48"/>
        <v/>
      </c>
      <c r="BA73" s="93">
        <v>6</v>
      </c>
      <c r="BB73" s="95" t="str">
        <f t="shared" si="22"/>
        <v/>
      </c>
      <c r="BC73" s="95" t="str">
        <f t="shared" si="23"/>
        <v/>
      </c>
      <c r="BD73" s="95" t="str">
        <f t="shared" si="24"/>
        <v/>
      </c>
      <c r="BE73" s="95" t="str">
        <f t="shared" si="25"/>
        <v/>
      </c>
      <c r="BF73" s="95" t="str">
        <f t="shared" si="26"/>
        <v/>
      </c>
      <c r="BG73" s="95" t="str">
        <f t="shared" si="27"/>
        <v/>
      </c>
      <c r="BH73" s="95" t="str">
        <f t="shared" si="28"/>
        <v/>
      </c>
      <c r="BI73" s="95" t="str">
        <f t="shared" si="29"/>
        <v/>
      </c>
      <c r="BJ73" s="95" t="str">
        <f t="shared" si="30"/>
        <v/>
      </c>
      <c r="BK73" s="95" t="str">
        <f t="shared" si="31"/>
        <v/>
      </c>
      <c r="BL73" s="95" t="str">
        <f t="shared" si="32"/>
        <v/>
      </c>
      <c r="BM73" s="95" t="str">
        <f t="shared" si="33"/>
        <v/>
      </c>
      <c r="BN73" s="95" t="str">
        <f t="shared" si="34"/>
        <v/>
      </c>
      <c r="BO73" s="95" t="str">
        <f t="shared" si="35"/>
        <v/>
      </c>
      <c r="BP73" s="95" t="str">
        <f t="shared" si="36"/>
        <v/>
      </c>
      <c r="BQ73" s="95" t="str">
        <f t="shared" si="37"/>
        <v/>
      </c>
      <c r="BR73" s="95" t="str">
        <f t="shared" si="38"/>
        <v/>
      </c>
      <c r="BS73" s="95" t="str">
        <f t="shared" si="39"/>
        <v/>
      </c>
      <c r="BT73" s="95" t="str">
        <f t="shared" si="40"/>
        <v/>
      </c>
      <c r="BU73" s="94" t="str">
        <f t="shared" si="41"/>
        <v/>
      </c>
      <c r="BV73" s="184" t="str">
        <f t="shared" si="49"/>
        <v/>
      </c>
      <c r="BW73" s="95" t="s">
        <v>159</v>
      </c>
      <c r="BX73" s="95">
        <f>BG66</f>
        <v>0</v>
      </c>
    </row>
    <row r="74" spans="1:76" s="25" customFormat="1" ht="15.6" x14ac:dyDescent="0.3">
      <c r="A74" s="89"/>
      <c r="B74" s="264">
        <v>7</v>
      </c>
      <c r="C74" s="119" t="str">
        <f t="shared" si="11"/>
        <v/>
      </c>
      <c r="D74" s="208" t="str">
        <f t="shared" si="42"/>
        <v/>
      </c>
      <c r="E74" s="166" t="str">
        <f t="shared" si="12"/>
        <v/>
      </c>
      <c r="F74" s="826"/>
      <c r="G74" s="827"/>
      <c r="H74" s="163" t="str">
        <f t="shared" si="13"/>
        <v/>
      </c>
      <c r="I74" s="321" t="str">
        <f t="shared" si="43"/>
        <v/>
      </c>
      <c r="J74" s="808" t="str">
        <f>IFERROR(IF(F74="","",VLOOKUP(F74,'10. Condition and Temporal'!$B$6:$F$103,5,FALSE)), "Error ▲")</f>
        <v/>
      </c>
      <c r="K74" s="809"/>
      <c r="L74" s="283" t="str">
        <f t="shared" si="44"/>
        <v/>
      </c>
      <c r="M74" s="697" t="str">
        <f t="shared" si="45"/>
        <v/>
      </c>
      <c r="N74" s="698"/>
      <c r="O74" s="74"/>
      <c r="P74" s="12"/>
      <c r="R74" s="741"/>
      <c r="T74" s="177" t="str">
        <f t="shared" si="14"/>
        <v/>
      </c>
      <c r="U74" s="114" t="str">
        <f t="shared" si="46"/>
        <v/>
      </c>
      <c r="V74" s="94" t="str">
        <f t="shared" si="15"/>
        <v/>
      </c>
      <c r="W74" s="93" t="str">
        <f t="shared" si="15"/>
        <v/>
      </c>
      <c r="X74" s="94" t="str">
        <f t="shared" si="15"/>
        <v/>
      </c>
      <c r="Y74" s="372"/>
      <c r="Z74" s="343"/>
      <c r="AA74" s="507"/>
      <c r="AB74" s="93" t="str">
        <f t="shared" si="16"/>
        <v/>
      </c>
      <c r="AC74" s="115" t="str">
        <f t="shared" si="17"/>
        <v/>
      </c>
      <c r="AD74" s="177" t="str">
        <f t="shared" si="50"/>
        <v/>
      </c>
      <c r="AE74" s="177" t="str">
        <f t="shared" si="47"/>
        <v/>
      </c>
      <c r="AF74" s="511" t="str">
        <f t="shared" si="18"/>
        <v/>
      </c>
      <c r="AG74" s="114" t="str">
        <f>IF(D74="","",VLOOKUP(F74,'9. All Habitats + Multipliers'!$C$4:$K$102,5,FALSE))</f>
        <v/>
      </c>
      <c r="AH74" s="344" t="str">
        <f>IF(AG74="","",VLOOKUP(AG74,'11. Lists'!$B$47:$D$49,2,FALSE))</f>
        <v/>
      </c>
      <c r="AI74" s="93" t="str">
        <f t="shared" si="19"/>
        <v/>
      </c>
      <c r="AJ74" s="94" t="str">
        <f>IF(AI74="","",VLOOKUP(AI74,'11. Lists'!$F$47:$G$51,2,FALSE))</f>
        <v/>
      </c>
      <c r="AK74" s="372"/>
      <c r="AL74" s="343"/>
      <c r="AM74" s="507"/>
      <c r="AN74" s="93" t="str">
        <f t="shared" si="20"/>
        <v/>
      </c>
      <c r="AO74" s="95" t="str">
        <f>IF(AN74="","",VLOOKUP(AN74,'11. Lists'!$F$36:$H$38,2,FALSE))</f>
        <v/>
      </c>
      <c r="AP74" s="94" t="str">
        <f>IF(AN74="","",VLOOKUP(AN74,'11. Lists'!$F$36:$H$38,3,FALSE))</f>
        <v/>
      </c>
      <c r="AQ74" s="114" t="str">
        <f>IF(D74="","",IF(AX74="Distinctiveness","N/A",VLOOKUP(F74,'10. Condition and Temporal'!$B$6:$L$103,11,FALSE)))</f>
        <v/>
      </c>
      <c r="AR74" s="118" t="str">
        <f>IF(AQ74="","",IF(AQ74="N/A","1",VLOOKUP(AQ74,'11. Lists'!$I$47:$K$80,3,FALSE)))</f>
        <v/>
      </c>
      <c r="AS74" s="524" t="str">
        <f>IF(D74="","",IF(AX74="Condition","N/A",VLOOKUP(F74,'10. Condition and Temporal'!$B$6:$M$106,12,FALSE)))</f>
        <v/>
      </c>
      <c r="AT74" s="118" t="str">
        <f>IF(AS74="","",IF(AS74="N/A","1",VLOOKUP(AS74,'11. Lists'!$I$47:$K$80,3,FALSE)))</f>
        <v/>
      </c>
      <c r="AU74" s="114" t="str">
        <f>IF(D74="","",VLOOKUP(F74,'9. All Habitats + Multipliers'!$C$4:$K$102,8,FALSE))</f>
        <v/>
      </c>
      <c r="AV74" s="115" t="str">
        <f>IF(AU74="","",VLOOKUP(AU74,'11. Lists'!$J$35:$K$38,2,FALSE))</f>
        <v/>
      </c>
      <c r="AW74" s="177" t="str">
        <f>IF(D74="","",VLOOKUP(D74,'10. Condition and Temporal'!$B$6:$M$103,4,FALSE))</f>
        <v/>
      </c>
      <c r="AX74" s="177" t="str">
        <f t="shared" si="21"/>
        <v/>
      </c>
      <c r="AY74" s="463" t="str">
        <f t="shared" si="48"/>
        <v/>
      </c>
      <c r="BA74" s="93">
        <v>7</v>
      </c>
      <c r="BB74" s="95" t="str">
        <f t="shared" si="22"/>
        <v/>
      </c>
      <c r="BC74" s="95" t="str">
        <f t="shared" si="23"/>
        <v/>
      </c>
      <c r="BD74" s="95" t="str">
        <f t="shared" si="24"/>
        <v/>
      </c>
      <c r="BE74" s="95" t="str">
        <f t="shared" si="25"/>
        <v/>
      </c>
      <c r="BF74" s="95" t="str">
        <f t="shared" si="26"/>
        <v/>
      </c>
      <c r="BG74" s="95" t="str">
        <f t="shared" si="27"/>
        <v/>
      </c>
      <c r="BH74" s="95" t="str">
        <f t="shared" si="28"/>
        <v/>
      </c>
      <c r="BI74" s="95" t="str">
        <f t="shared" si="29"/>
        <v/>
      </c>
      <c r="BJ74" s="95" t="str">
        <f t="shared" si="30"/>
        <v/>
      </c>
      <c r="BK74" s="95" t="str">
        <f t="shared" si="31"/>
        <v/>
      </c>
      <c r="BL74" s="95" t="str">
        <f t="shared" si="32"/>
        <v/>
      </c>
      <c r="BM74" s="95" t="str">
        <f t="shared" si="33"/>
        <v/>
      </c>
      <c r="BN74" s="95" t="str">
        <f t="shared" si="34"/>
        <v/>
      </c>
      <c r="BO74" s="95" t="str">
        <f t="shared" si="35"/>
        <v/>
      </c>
      <c r="BP74" s="95" t="str">
        <f t="shared" si="36"/>
        <v/>
      </c>
      <c r="BQ74" s="95" t="str">
        <f t="shared" si="37"/>
        <v/>
      </c>
      <c r="BR74" s="95" t="str">
        <f t="shared" si="38"/>
        <v/>
      </c>
      <c r="BS74" s="95" t="str">
        <f t="shared" si="39"/>
        <v/>
      </c>
      <c r="BT74" s="95" t="str">
        <f t="shared" si="40"/>
        <v/>
      </c>
      <c r="BU74" s="94" t="str">
        <f t="shared" si="41"/>
        <v/>
      </c>
      <c r="BV74" s="184" t="str">
        <f t="shared" si="49"/>
        <v/>
      </c>
      <c r="BW74" s="95" t="s">
        <v>160</v>
      </c>
      <c r="BX74" s="95">
        <f>BH66</f>
        <v>0</v>
      </c>
    </row>
    <row r="75" spans="1:76" s="25" customFormat="1" ht="15.6" x14ac:dyDescent="0.3">
      <c r="A75" s="89"/>
      <c r="B75" s="264">
        <v>8</v>
      </c>
      <c r="C75" s="119" t="str">
        <f t="shared" si="11"/>
        <v/>
      </c>
      <c r="D75" s="208" t="str">
        <f t="shared" si="42"/>
        <v/>
      </c>
      <c r="E75" s="166" t="str">
        <f t="shared" si="12"/>
        <v/>
      </c>
      <c r="F75" s="826"/>
      <c r="G75" s="827"/>
      <c r="H75" s="163" t="str">
        <f t="shared" si="13"/>
        <v/>
      </c>
      <c r="I75" s="321" t="str">
        <f t="shared" si="43"/>
        <v/>
      </c>
      <c r="J75" s="808" t="str">
        <f>IFERROR(IF(F75="","",VLOOKUP(F75,'10. Condition and Temporal'!$B$6:$F$103,5,FALSE)), "Error ▲")</f>
        <v/>
      </c>
      <c r="K75" s="809"/>
      <c r="L75" s="283" t="str">
        <f t="shared" si="44"/>
        <v/>
      </c>
      <c r="M75" s="697" t="str">
        <f t="shared" si="45"/>
        <v/>
      </c>
      <c r="N75" s="698"/>
      <c r="O75" s="74"/>
      <c r="P75" s="12"/>
      <c r="R75" s="741"/>
      <c r="T75" s="177" t="str">
        <f t="shared" si="14"/>
        <v/>
      </c>
      <c r="U75" s="114" t="str">
        <f t="shared" si="46"/>
        <v/>
      </c>
      <c r="V75" s="94" t="str">
        <f t="shared" si="15"/>
        <v/>
      </c>
      <c r="W75" s="93" t="str">
        <f t="shared" si="15"/>
        <v/>
      </c>
      <c r="X75" s="94" t="str">
        <f t="shared" si="15"/>
        <v/>
      </c>
      <c r="Y75" s="372"/>
      <c r="Z75" s="343"/>
      <c r="AA75" s="507"/>
      <c r="AB75" s="93" t="str">
        <f t="shared" si="16"/>
        <v/>
      </c>
      <c r="AC75" s="115" t="str">
        <f t="shared" si="17"/>
        <v/>
      </c>
      <c r="AD75" s="177" t="str">
        <f t="shared" si="50"/>
        <v/>
      </c>
      <c r="AE75" s="177" t="str">
        <f t="shared" si="47"/>
        <v/>
      </c>
      <c r="AF75" s="511" t="str">
        <f t="shared" si="18"/>
        <v/>
      </c>
      <c r="AG75" s="114" t="str">
        <f>IF(D75="","",VLOOKUP(F75,'9. All Habitats + Multipliers'!$C$4:$K$102,5,FALSE))</f>
        <v/>
      </c>
      <c r="AH75" s="344" t="str">
        <f>IF(AG75="","",VLOOKUP(AG75,'11. Lists'!$B$47:$D$49,2,FALSE))</f>
        <v/>
      </c>
      <c r="AI75" s="93" t="str">
        <f t="shared" si="19"/>
        <v/>
      </c>
      <c r="AJ75" s="94" t="str">
        <f>IF(AI75="","",VLOOKUP(AI75,'11. Lists'!$F$47:$G$51,2,FALSE))</f>
        <v/>
      </c>
      <c r="AK75" s="372"/>
      <c r="AL75" s="343"/>
      <c r="AM75" s="507"/>
      <c r="AN75" s="93" t="str">
        <f t="shared" si="20"/>
        <v/>
      </c>
      <c r="AO75" s="95" t="str">
        <f>IF(AN75="","",VLOOKUP(AN75,'11. Lists'!$F$36:$H$38,2,FALSE))</f>
        <v/>
      </c>
      <c r="AP75" s="94" t="str">
        <f>IF(AN75="","",VLOOKUP(AN75,'11. Lists'!$F$36:$H$38,3,FALSE))</f>
        <v/>
      </c>
      <c r="AQ75" s="114" t="str">
        <f>IF(D75="","",IF(AX75="Distinctiveness","N/A",VLOOKUP(F75,'10. Condition and Temporal'!$B$6:$L$103,11,FALSE)))</f>
        <v/>
      </c>
      <c r="AR75" s="118" t="str">
        <f>IF(AQ75="","",IF(AQ75="N/A","1",VLOOKUP(AQ75,'11. Lists'!$I$47:$K$80,3,FALSE)))</f>
        <v/>
      </c>
      <c r="AS75" s="524" t="str">
        <f>IF(D75="","",IF(AX75="Condition","N/A",VLOOKUP(F75,'10. Condition and Temporal'!$B$6:$M$106,12,FALSE)))</f>
        <v/>
      </c>
      <c r="AT75" s="118" t="str">
        <f>IF(AS75="","",IF(AS75="N/A","1",VLOOKUP(AS75,'11. Lists'!$I$47:$K$80,3,FALSE)))</f>
        <v/>
      </c>
      <c r="AU75" s="114" t="str">
        <f>IF(D75="","",VLOOKUP(F75,'9. All Habitats + Multipliers'!$C$4:$K$102,8,FALSE))</f>
        <v/>
      </c>
      <c r="AV75" s="115" t="str">
        <f>IF(AU75="","",VLOOKUP(AU75,'11. Lists'!$J$35:$K$38,2,FALSE))</f>
        <v/>
      </c>
      <c r="AW75" s="177" t="str">
        <f>IF(D75="","",VLOOKUP(D75,'10. Condition and Temporal'!$B$6:$M$103,4,FALSE))</f>
        <v/>
      </c>
      <c r="AX75" s="177" t="str">
        <f t="shared" si="21"/>
        <v/>
      </c>
      <c r="AY75" s="463" t="str">
        <f t="shared" si="48"/>
        <v/>
      </c>
      <c r="BA75" s="93">
        <v>8</v>
      </c>
      <c r="BB75" s="95" t="str">
        <f t="shared" si="22"/>
        <v/>
      </c>
      <c r="BC75" s="95" t="str">
        <f t="shared" si="23"/>
        <v/>
      </c>
      <c r="BD75" s="95" t="str">
        <f t="shared" si="24"/>
        <v/>
      </c>
      <c r="BE75" s="95" t="str">
        <f t="shared" si="25"/>
        <v/>
      </c>
      <c r="BF75" s="95" t="str">
        <f t="shared" si="26"/>
        <v/>
      </c>
      <c r="BG75" s="95" t="str">
        <f t="shared" si="27"/>
        <v/>
      </c>
      <c r="BH75" s="95" t="str">
        <f t="shared" si="28"/>
        <v/>
      </c>
      <c r="BI75" s="95" t="str">
        <f t="shared" si="29"/>
        <v/>
      </c>
      <c r="BJ75" s="95" t="str">
        <f t="shared" si="30"/>
        <v/>
      </c>
      <c r="BK75" s="95" t="str">
        <f t="shared" si="31"/>
        <v/>
      </c>
      <c r="BL75" s="95" t="str">
        <f t="shared" si="32"/>
        <v/>
      </c>
      <c r="BM75" s="95" t="str">
        <f t="shared" si="33"/>
        <v/>
      </c>
      <c r="BN75" s="95" t="str">
        <f t="shared" si="34"/>
        <v/>
      </c>
      <c r="BO75" s="95" t="str">
        <f t="shared" si="35"/>
        <v/>
      </c>
      <c r="BP75" s="95" t="str">
        <f t="shared" si="36"/>
        <v/>
      </c>
      <c r="BQ75" s="95" t="str">
        <f t="shared" si="37"/>
        <v/>
      </c>
      <c r="BR75" s="95" t="str">
        <f t="shared" si="38"/>
        <v/>
      </c>
      <c r="BS75" s="95" t="str">
        <f t="shared" si="39"/>
        <v/>
      </c>
      <c r="BT75" s="95" t="str">
        <f t="shared" si="40"/>
        <v/>
      </c>
      <c r="BU75" s="94" t="str">
        <f t="shared" si="41"/>
        <v/>
      </c>
      <c r="BV75" s="184" t="str">
        <f t="shared" si="49"/>
        <v/>
      </c>
      <c r="BW75" s="95" t="s">
        <v>161</v>
      </c>
      <c r="BX75" s="95">
        <f>BI66</f>
        <v>0</v>
      </c>
    </row>
    <row r="76" spans="1:76" s="25" customFormat="1" ht="15.6" x14ac:dyDescent="0.3">
      <c r="A76" s="89"/>
      <c r="B76" s="264">
        <v>9</v>
      </c>
      <c r="C76" s="119" t="str">
        <f t="shared" si="11"/>
        <v/>
      </c>
      <c r="D76" s="208" t="str">
        <f t="shared" si="42"/>
        <v/>
      </c>
      <c r="E76" s="166" t="str">
        <f t="shared" si="12"/>
        <v/>
      </c>
      <c r="F76" s="826"/>
      <c r="G76" s="827"/>
      <c r="H76" s="163" t="str">
        <f t="shared" si="13"/>
        <v/>
      </c>
      <c r="I76" s="321" t="str">
        <f t="shared" si="43"/>
        <v/>
      </c>
      <c r="J76" s="808" t="str">
        <f>IFERROR(IF(F76="","",VLOOKUP(F76,'10. Condition and Temporal'!$B$6:$F$103,5,FALSE)), "Error ▲")</f>
        <v/>
      </c>
      <c r="K76" s="809"/>
      <c r="L76" s="283" t="str">
        <f t="shared" si="44"/>
        <v/>
      </c>
      <c r="M76" s="697" t="str">
        <f t="shared" si="45"/>
        <v/>
      </c>
      <c r="N76" s="698"/>
      <c r="O76" s="74"/>
      <c r="P76" s="12"/>
      <c r="R76" s="741"/>
      <c r="T76" s="177" t="str">
        <f t="shared" si="14"/>
        <v/>
      </c>
      <c r="U76" s="114" t="str">
        <f t="shared" si="46"/>
        <v/>
      </c>
      <c r="V76" s="94" t="str">
        <f t="shared" si="15"/>
        <v/>
      </c>
      <c r="W76" s="93" t="str">
        <f t="shared" si="15"/>
        <v/>
      </c>
      <c r="X76" s="94" t="str">
        <f t="shared" si="15"/>
        <v/>
      </c>
      <c r="Y76" s="372"/>
      <c r="Z76" s="343"/>
      <c r="AA76" s="507"/>
      <c r="AB76" s="93" t="str">
        <f t="shared" si="16"/>
        <v/>
      </c>
      <c r="AC76" s="115" t="str">
        <f t="shared" si="17"/>
        <v/>
      </c>
      <c r="AD76" s="177" t="str">
        <f t="shared" si="50"/>
        <v/>
      </c>
      <c r="AE76" s="177" t="str">
        <f t="shared" si="47"/>
        <v/>
      </c>
      <c r="AF76" s="511" t="str">
        <f t="shared" si="18"/>
        <v/>
      </c>
      <c r="AG76" s="114" t="str">
        <f>IF(D76="","",VLOOKUP(F76,'9. All Habitats + Multipliers'!$C$4:$K$102,5,FALSE))</f>
        <v/>
      </c>
      <c r="AH76" s="344" t="str">
        <f>IF(AG76="","",VLOOKUP(AG76,'11. Lists'!$B$47:$D$49,2,FALSE))</f>
        <v/>
      </c>
      <c r="AI76" s="93" t="str">
        <f t="shared" si="19"/>
        <v/>
      </c>
      <c r="AJ76" s="94" t="str">
        <f>IF(AI76="","",VLOOKUP(AI76,'11. Lists'!$F$47:$G$51,2,FALSE))</f>
        <v/>
      </c>
      <c r="AK76" s="372"/>
      <c r="AL76" s="343"/>
      <c r="AM76" s="507"/>
      <c r="AN76" s="93" t="str">
        <f t="shared" si="20"/>
        <v/>
      </c>
      <c r="AO76" s="95" t="str">
        <f>IF(AN76="","",VLOOKUP(AN76,'11. Lists'!$F$36:$H$38,2,FALSE))</f>
        <v/>
      </c>
      <c r="AP76" s="94" t="str">
        <f>IF(AN76="","",VLOOKUP(AN76,'11. Lists'!$F$36:$H$38,3,FALSE))</f>
        <v/>
      </c>
      <c r="AQ76" s="114" t="str">
        <f>IF(D76="","",IF(AX76="Distinctiveness","N/A",VLOOKUP(F76,'10. Condition and Temporal'!$B$6:$L$103,11,FALSE)))</f>
        <v/>
      </c>
      <c r="AR76" s="118" t="str">
        <f>IF(AQ76="","",IF(AQ76="N/A","1",VLOOKUP(AQ76,'11. Lists'!$I$47:$K$80,3,FALSE)))</f>
        <v/>
      </c>
      <c r="AS76" s="524" t="str">
        <f>IF(D76="","",IF(AX76="Condition","N/A",VLOOKUP(F76,'10. Condition and Temporal'!$B$6:$M$106,12,FALSE)))</f>
        <v/>
      </c>
      <c r="AT76" s="118" t="str">
        <f>IF(AS76="","",IF(AS76="N/A","1",VLOOKUP(AS76,'11. Lists'!$I$47:$K$80,3,FALSE)))</f>
        <v/>
      </c>
      <c r="AU76" s="114" t="str">
        <f>IF(D76="","",VLOOKUP(F76,'9. All Habitats + Multipliers'!$C$4:$K$102,8,FALSE))</f>
        <v/>
      </c>
      <c r="AV76" s="115" t="str">
        <f>IF(AU76="","",VLOOKUP(AU76,'11. Lists'!$J$35:$K$38,2,FALSE))</f>
        <v/>
      </c>
      <c r="AW76" s="177" t="str">
        <f>IF(D76="","",VLOOKUP(D76,'10. Condition and Temporal'!$B$6:$M$103,4,FALSE))</f>
        <v/>
      </c>
      <c r="AX76" s="177" t="str">
        <f t="shared" si="21"/>
        <v/>
      </c>
      <c r="AY76" s="463" t="str">
        <f t="shared" si="48"/>
        <v/>
      </c>
      <c r="BA76" s="93">
        <v>9</v>
      </c>
      <c r="BB76" s="95" t="str">
        <f t="shared" si="22"/>
        <v/>
      </c>
      <c r="BC76" s="95" t="str">
        <f t="shared" si="23"/>
        <v/>
      </c>
      <c r="BD76" s="95" t="str">
        <f t="shared" si="24"/>
        <v/>
      </c>
      <c r="BE76" s="95" t="str">
        <f t="shared" si="25"/>
        <v/>
      </c>
      <c r="BF76" s="95" t="str">
        <f t="shared" si="26"/>
        <v/>
      </c>
      <c r="BG76" s="95" t="str">
        <f t="shared" si="27"/>
        <v/>
      </c>
      <c r="BH76" s="95" t="str">
        <f t="shared" si="28"/>
        <v/>
      </c>
      <c r="BI76" s="95" t="str">
        <f t="shared" si="29"/>
        <v/>
      </c>
      <c r="BJ76" s="95" t="str">
        <f t="shared" si="30"/>
        <v/>
      </c>
      <c r="BK76" s="95" t="str">
        <f t="shared" si="31"/>
        <v/>
      </c>
      <c r="BL76" s="95" t="str">
        <f t="shared" si="32"/>
        <v/>
      </c>
      <c r="BM76" s="95" t="str">
        <f t="shared" si="33"/>
        <v/>
      </c>
      <c r="BN76" s="95" t="str">
        <f t="shared" si="34"/>
        <v/>
      </c>
      <c r="BO76" s="95" t="str">
        <f t="shared" si="35"/>
        <v/>
      </c>
      <c r="BP76" s="95" t="str">
        <f t="shared" si="36"/>
        <v/>
      </c>
      <c r="BQ76" s="95" t="str">
        <f t="shared" si="37"/>
        <v/>
      </c>
      <c r="BR76" s="95" t="str">
        <f t="shared" si="38"/>
        <v/>
      </c>
      <c r="BS76" s="95" t="str">
        <f t="shared" si="39"/>
        <v/>
      </c>
      <c r="BT76" s="95" t="str">
        <f t="shared" si="40"/>
        <v/>
      </c>
      <c r="BU76" s="94" t="str">
        <f t="shared" si="41"/>
        <v/>
      </c>
      <c r="BV76" s="184" t="str">
        <f t="shared" si="49"/>
        <v/>
      </c>
      <c r="BW76" s="95" t="s">
        <v>162</v>
      </c>
      <c r="BX76" s="95">
        <f>BJ66</f>
        <v>0</v>
      </c>
    </row>
    <row r="77" spans="1:76" s="25" customFormat="1" ht="15.6" x14ac:dyDescent="0.3">
      <c r="A77" s="89"/>
      <c r="B77" s="264">
        <v>10</v>
      </c>
      <c r="C77" s="119" t="str">
        <f t="shared" si="11"/>
        <v/>
      </c>
      <c r="D77" s="208" t="str">
        <f t="shared" si="42"/>
        <v/>
      </c>
      <c r="E77" s="166" t="str">
        <f t="shared" si="12"/>
        <v/>
      </c>
      <c r="F77" s="826"/>
      <c r="G77" s="827"/>
      <c r="H77" s="163" t="str">
        <f t="shared" si="13"/>
        <v/>
      </c>
      <c r="I77" s="321" t="str">
        <f t="shared" si="43"/>
        <v/>
      </c>
      <c r="J77" s="808" t="str">
        <f>IFERROR(IF(F77="","",VLOOKUP(F77,'10. Condition and Temporal'!$B$6:$F$103,5,FALSE)), "Error ▲")</f>
        <v/>
      </c>
      <c r="K77" s="809"/>
      <c r="L77" s="283" t="str">
        <f t="shared" si="44"/>
        <v/>
      </c>
      <c r="M77" s="697" t="str">
        <f t="shared" si="45"/>
        <v/>
      </c>
      <c r="N77" s="698"/>
      <c r="O77" s="74"/>
      <c r="P77" s="12"/>
      <c r="R77" s="741"/>
      <c r="T77" s="177" t="str">
        <f t="shared" si="14"/>
        <v/>
      </c>
      <c r="U77" s="114" t="str">
        <f t="shared" si="46"/>
        <v/>
      </c>
      <c r="V77" s="94" t="str">
        <f t="shared" si="15"/>
        <v/>
      </c>
      <c r="W77" s="93" t="str">
        <f t="shared" si="15"/>
        <v/>
      </c>
      <c r="X77" s="94" t="str">
        <f t="shared" si="15"/>
        <v/>
      </c>
      <c r="Y77" s="372"/>
      <c r="Z77" s="343"/>
      <c r="AA77" s="507"/>
      <c r="AB77" s="93" t="str">
        <f t="shared" si="16"/>
        <v/>
      </c>
      <c r="AC77" s="115" t="str">
        <f t="shared" si="17"/>
        <v/>
      </c>
      <c r="AD77" s="177" t="str">
        <f t="shared" si="50"/>
        <v/>
      </c>
      <c r="AE77" s="177" t="str">
        <f t="shared" si="47"/>
        <v/>
      </c>
      <c r="AF77" s="511" t="str">
        <f t="shared" si="18"/>
        <v/>
      </c>
      <c r="AG77" s="114" t="str">
        <f>IF(D77="","",VLOOKUP(F77,'9. All Habitats + Multipliers'!$C$4:$K$102,5,FALSE))</f>
        <v/>
      </c>
      <c r="AH77" s="344" t="str">
        <f>IF(AG77="","",VLOOKUP(AG77,'11. Lists'!$B$47:$D$49,2,FALSE))</f>
        <v/>
      </c>
      <c r="AI77" s="93" t="str">
        <f t="shared" si="19"/>
        <v/>
      </c>
      <c r="AJ77" s="94" t="str">
        <f>IF(AI77="","",VLOOKUP(AI77,'11. Lists'!$F$47:$G$51,2,FALSE))</f>
        <v/>
      </c>
      <c r="AK77" s="372"/>
      <c r="AL77" s="343"/>
      <c r="AM77" s="507"/>
      <c r="AN77" s="93" t="str">
        <f t="shared" si="20"/>
        <v/>
      </c>
      <c r="AO77" s="95" t="str">
        <f>IF(AN77="","",VLOOKUP(AN77,'11. Lists'!$F$36:$H$38,2,FALSE))</f>
        <v/>
      </c>
      <c r="AP77" s="94" t="str">
        <f>IF(AN77="","",VLOOKUP(AN77,'11. Lists'!$F$36:$H$38,3,FALSE))</f>
        <v/>
      </c>
      <c r="AQ77" s="114" t="str">
        <f>IF(D77="","",IF(AX77="Distinctiveness","N/A",VLOOKUP(F77,'10. Condition and Temporal'!$B$6:$L$103,11,FALSE)))</f>
        <v/>
      </c>
      <c r="AR77" s="118" t="str">
        <f>IF(AQ77="","",IF(AQ77="N/A","1",VLOOKUP(AQ77,'11. Lists'!$I$47:$K$80,3,FALSE)))</f>
        <v/>
      </c>
      <c r="AS77" s="524" t="str">
        <f>IF(D77="","",IF(AX77="Condition","N/A",VLOOKUP(F77,'10. Condition and Temporal'!$B$6:$M$106,12,FALSE)))</f>
        <v/>
      </c>
      <c r="AT77" s="118" t="str">
        <f>IF(AS77="","",IF(AS77="N/A","1",VLOOKUP(AS77,'11. Lists'!$I$47:$K$80,3,FALSE)))</f>
        <v/>
      </c>
      <c r="AU77" s="114" t="str">
        <f>IF(D77="","",VLOOKUP(F77,'9. All Habitats + Multipliers'!$C$4:$K$102,8,FALSE))</f>
        <v/>
      </c>
      <c r="AV77" s="115" t="str">
        <f>IF(AU77="","",VLOOKUP(AU77,'11. Lists'!$J$35:$K$38,2,FALSE))</f>
        <v/>
      </c>
      <c r="AW77" s="177" t="str">
        <f>IF(D77="","",VLOOKUP(D77,'10. Condition and Temporal'!$B$6:$M$103,4,FALSE))</f>
        <v/>
      </c>
      <c r="AX77" s="177" t="str">
        <f t="shared" si="21"/>
        <v/>
      </c>
      <c r="AY77" s="463" t="str">
        <f t="shared" si="48"/>
        <v/>
      </c>
      <c r="BA77" s="93">
        <v>10</v>
      </c>
      <c r="BB77" s="95" t="str">
        <f t="shared" si="22"/>
        <v/>
      </c>
      <c r="BC77" s="95" t="str">
        <f t="shared" si="23"/>
        <v/>
      </c>
      <c r="BD77" s="95" t="str">
        <f t="shared" si="24"/>
        <v/>
      </c>
      <c r="BE77" s="95" t="str">
        <f t="shared" si="25"/>
        <v/>
      </c>
      <c r="BF77" s="95" t="str">
        <f t="shared" si="26"/>
        <v/>
      </c>
      <c r="BG77" s="95" t="str">
        <f t="shared" si="27"/>
        <v/>
      </c>
      <c r="BH77" s="95" t="str">
        <f t="shared" si="28"/>
        <v/>
      </c>
      <c r="BI77" s="95" t="str">
        <f t="shared" si="29"/>
        <v/>
      </c>
      <c r="BJ77" s="95" t="str">
        <f t="shared" si="30"/>
        <v/>
      </c>
      <c r="BK77" s="95" t="str">
        <f t="shared" si="31"/>
        <v/>
      </c>
      <c r="BL77" s="95" t="str">
        <f t="shared" si="32"/>
        <v/>
      </c>
      <c r="BM77" s="95" t="str">
        <f t="shared" si="33"/>
        <v/>
      </c>
      <c r="BN77" s="95" t="str">
        <f t="shared" si="34"/>
        <v/>
      </c>
      <c r="BO77" s="95" t="str">
        <f t="shared" si="35"/>
        <v/>
      </c>
      <c r="BP77" s="95" t="str">
        <f t="shared" si="36"/>
        <v/>
      </c>
      <c r="BQ77" s="95" t="str">
        <f t="shared" si="37"/>
        <v/>
      </c>
      <c r="BR77" s="95" t="str">
        <f t="shared" si="38"/>
        <v/>
      </c>
      <c r="BS77" s="95" t="str">
        <f t="shared" si="39"/>
        <v/>
      </c>
      <c r="BT77" s="95" t="str">
        <f t="shared" si="40"/>
        <v/>
      </c>
      <c r="BU77" s="94" t="str">
        <f t="shared" si="41"/>
        <v/>
      </c>
      <c r="BV77" s="184" t="str">
        <f t="shared" si="49"/>
        <v/>
      </c>
      <c r="BW77" s="95" t="s">
        <v>163</v>
      </c>
      <c r="BX77" s="95">
        <f>BK66</f>
        <v>0</v>
      </c>
    </row>
    <row r="78" spans="1:76" s="25" customFormat="1" ht="15.6" x14ac:dyDescent="0.3">
      <c r="A78" s="89"/>
      <c r="B78" s="264">
        <v>11</v>
      </c>
      <c r="C78" s="119" t="str">
        <f t="shared" si="11"/>
        <v/>
      </c>
      <c r="D78" s="208" t="str">
        <f t="shared" si="42"/>
        <v/>
      </c>
      <c r="E78" s="166" t="str">
        <f t="shared" si="12"/>
        <v/>
      </c>
      <c r="F78" s="826"/>
      <c r="G78" s="827"/>
      <c r="H78" s="163" t="str">
        <f t="shared" si="13"/>
        <v/>
      </c>
      <c r="I78" s="321" t="str">
        <f t="shared" si="43"/>
        <v/>
      </c>
      <c r="J78" s="808" t="str">
        <f>IFERROR(IF(F78="","",VLOOKUP(F78,'10. Condition and Temporal'!$B$6:$F$103,5,FALSE)), "Error ▲")</f>
        <v/>
      </c>
      <c r="K78" s="809"/>
      <c r="L78" s="283" t="str">
        <f t="shared" si="44"/>
        <v/>
      </c>
      <c r="M78" s="697" t="str">
        <f t="shared" si="45"/>
        <v/>
      </c>
      <c r="N78" s="698"/>
      <c r="O78" s="74"/>
      <c r="P78" s="12"/>
      <c r="R78" s="741"/>
      <c r="T78" s="177" t="str">
        <f t="shared" si="14"/>
        <v/>
      </c>
      <c r="U78" s="114" t="str">
        <f t="shared" si="46"/>
        <v/>
      </c>
      <c r="V78" s="94" t="str">
        <f t="shared" si="15"/>
        <v/>
      </c>
      <c r="W78" s="93" t="str">
        <f t="shared" si="15"/>
        <v/>
      </c>
      <c r="X78" s="94" t="str">
        <f t="shared" si="15"/>
        <v/>
      </c>
      <c r="Y78" s="372"/>
      <c r="Z78" s="343"/>
      <c r="AA78" s="507"/>
      <c r="AB78" s="93" t="str">
        <f t="shared" si="16"/>
        <v/>
      </c>
      <c r="AC78" s="115" t="str">
        <f t="shared" si="17"/>
        <v/>
      </c>
      <c r="AD78" s="177" t="str">
        <f t="shared" si="50"/>
        <v/>
      </c>
      <c r="AE78" s="177" t="str">
        <f t="shared" si="47"/>
        <v/>
      </c>
      <c r="AF78" s="511" t="str">
        <f t="shared" si="18"/>
        <v/>
      </c>
      <c r="AG78" s="114" t="str">
        <f>IF(D78="","",VLOOKUP(F78,'9. All Habitats + Multipliers'!$C$4:$K$102,5,FALSE))</f>
        <v/>
      </c>
      <c r="AH78" s="344" t="str">
        <f>IF(AG78="","",VLOOKUP(AG78,'11. Lists'!$B$47:$D$49,2,FALSE))</f>
        <v/>
      </c>
      <c r="AI78" s="93" t="str">
        <f t="shared" si="19"/>
        <v/>
      </c>
      <c r="AJ78" s="94" t="str">
        <f>IF(AI78="","",VLOOKUP(AI78,'11. Lists'!$F$47:$G$51,2,FALSE))</f>
        <v/>
      </c>
      <c r="AK78" s="372"/>
      <c r="AL78" s="343"/>
      <c r="AM78" s="507"/>
      <c r="AN78" s="93" t="str">
        <f t="shared" si="20"/>
        <v/>
      </c>
      <c r="AO78" s="95" t="str">
        <f>IF(AN78="","",VLOOKUP(AN78,'11. Lists'!$F$36:$H$38,2,FALSE))</f>
        <v/>
      </c>
      <c r="AP78" s="94" t="str">
        <f>IF(AN78="","",VLOOKUP(AN78,'11. Lists'!$F$36:$H$38,3,FALSE))</f>
        <v/>
      </c>
      <c r="AQ78" s="114" t="str">
        <f>IF(D78="","",IF(AX78="Distinctiveness","N/A",VLOOKUP(F78,'10. Condition and Temporal'!$B$6:$L$103,11,FALSE)))</f>
        <v/>
      </c>
      <c r="AR78" s="118" t="str">
        <f>IF(AQ78="","",IF(AQ78="N/A","1",VLOOKUP(AQ78,'11. Lists'!$I$47:$K$80,3,FALSE)))</f>
        <v/>
      </c>
      <c r="AS78" s="524" t="str">
        <f>IF(D78="","",IF(AX78="Condition","N/A",VLOOKUP(F78,'10. Condition and Temporal'!$B$6:$M$106,12,FALSE)))</f>
        <v/>
      </c>
      <c r="AT78" s="118" t="str">
        <f>IF(AS78="","",IF(AS78="N/A","1",VLOOKUP(AS78,'11. Lists'!$I$47:$K$80,3,FALSE)))</f>
        <v/>
      </c>
      <c r="AU78" s="114" t="str">
        <f>IF(D78="","",VLOOKUP(F78,'9. All Habitats + Multipliers'!$C$4:$K$102,8,FALSE))</f>
        <v/>
      </c>
      <c r="AV78" s="115" t="str">
        <f>IF(AU78="","",VLOOKUP(AU78,'11. Lists'!$J$35:$K$38,2,FALSE))</f>
        <v/>
      </c>
      <c r="AW78" s="177" t="str">
        <f>IF(D78="","",VLOOKUP(D78,'10. Condition and Temporal'!$B$6:$M$103,4,FALSE))</f>
        <v/>
      </c>
      <c r="AX78" s="177" t="str">
        <f t="shared" si="21"/>
        <v/>
      </c>
      <c r="AY78" s="463" t="str">
        <f t="shared" si="48"/>
        <v/>
      </c>
      <c r="BA78" s="93">
        <v>11</v>
      </c>
      <c r="BB78" s="95" t="str">
        <f t="shared" si="22"/>
        <v/>
      </c>
      <c r="BC78" s="95" t="str">
        <f t="shared" si="23"/>
        <v/>
      </c>
      <c r="BD78" s="95" t="str">
        <f t="shared" si="24"/>
        <v/>
      </c>
      <c r="BE78" s="95" t="str">
        <f t="shared" si="25"/>
        <v/>
      </c>
      <c r="BF78" s="95" t="str">
        <f t="shared" si="26"/>
        <v/>
      </c>
      <c r="BG78" s="95" t="str">
        <f t="shared" si="27"/>
        <v/>
      </c>
      <c r="BH78" s="95" t="str">
        <f t="shared" si="28"/>
        <v/>
      </c>
      <c r="BI78" s="95" t="str">
        <f t="shared" si="29"/>
        <v/>
      </c>
      <c r="BJ78" s="95" t="str">
        <f t="shared" si="30"/>
        <v/>
      </c>
      <c r="BK78" s="95" t="str">
        <f t="shared" si="31"/>
        <v/>
      </c>
      <c r="BL78" s="95" t="str">
        <f t="shared" si="32"/>
        <v/>
      </c>
      <c r="BM78" s="95" t="str">
        <f t="shared" si="33"/>
        <v/>
      </c>
      <c r="BN78" s="95" t="str">
        <f t="shared" si="34"/>
        <v/>
      </c>
      <c r="BO78" s="95" t="str">
        <f t="shared" si="35"/>
        <v/>
      </c>
      <c r="BP78" s="95" t="str">
        <f t="shared" si="36"/>
        <v/>
      </c>
      <c r="BQ78" s="95" t="str">
        <f t="shared" si="37"/>
        <v/>
      </c>
      <c r="BR78" s="95" t="str">
        <f t="shared" si="38"/>
        <v/>
      </c>
      <c r="BS78" s="95" t="str">
        <f t="shared" si="39"/>
        <v/>
      </c>
      <c r="BT78" s="95" t="str">
        <f t="shared" si="40"/>
        <v/>
      </c>
      <c r="BU78" s="94" t="str">
        <f t="shared" si="41"/>
        <v/>
      </c>
      <c r="BV78" s="184" t="str">
        <f t="shared" si="49"/>
        <v/>
      </c>
      <c r="BW78" s="95" t="s">
        <v>164</v>
      </c>
      <c r="BX78" s="95">
        <f>BL66</f>
        <v>0</v>
      </c>
    </row>
    <row r="79" spans="1:76" s="25" customFormat="1" ht="15.6" x14ac:dyDescent="0.3">
      <c r="A79" s="89"/>
      <c r="B79" s="264">
        <v>12</v>
      </c>
      <c r="C79" s="119" t="str">
        <f t="shared" si="11"/>
        <v/>
      </c>
      <c r="D79" s="208" t="str">
        <f t="shared" si="42"/>
        <v/>
      </c>
      <c r="E79" s="166" t="str">
        <f t="shared" si="12"/>
        <v/>
      </c>
      <c r="F79" s="826"/>
      <c r="G79" s="827"/>
      <c r="H79" s="163" t="str">
        <f t="shared" si="13"/>
        <v/>
      </c>
      <c r="I79" s="321" t="str">
        <f t="shared" si="43"/>
        <v/>
      </c>
      <c r="J79" s="808" t="str">
        <f>IFERROR(IF(F79="","",VLOOKUP(F79,'10. Condition and Temporal'!$B$6:$F$103,5,FALSE)), "Error ▲")</f>
        <v/>
      </c>
      <c r="K79" s="809"/>
      <c r="L79" s="283" t="str">
        <f t="shared" si="44"/>
        <v/>
      </c>
      <c r="M79" s="697" t="str">
        <f t="shared" si="45"/>
        <v/>
      </c>
      <c r="N79" s="698"/>
      <c r="O79" s="74"/>
      <c r="P79" s="12"/>
      <c r="R79" s="741"/>
      <c r="T79" s="177" t="str">
        <f t="shared" si="14"/>
        <v/>
      </c>
      <c r="U79" s="114" t="str">
        <f t="shared" si="46"/>
        <v/>
      </c>
      <c r="V79" s="94" t="str">
        <f t="shared" si="15"/>
        <v/>
      </c>
      <c r="W79" s="93" t="str">
        <f t="shared" si="15"/>
        <v/>
      </c>
      <c r="X79" s="94" t="str">
        <f t="shared" si="15"/>
        <v/>
      </c>
      <c r="Y79" s="372"/>
      <c r="Z79" s="343"/>
      <c r="AA79" s="507"/>
      <c r="AB79" s="93" t="str">
        <f t="shared" si="16"/>
        <v/>
      </c>
      <c r="AC79" s="115" t="str">
        <f t="shared" si="17"/>
        <v/>
      </c>
      <c r="AD79" s="177" t="str">
        <f t="shared" si="50"/>
        <v/>
      </c>
      <c r="AE79" s="177" t="str">
        <f t="shared" si="47"/>
        <v/>
      </c>
      <c r="AF79" s="511" t="str">
        <f t="shared" si="18"/>
        <v/>
      </c>
      <c r="AG79" s="114" t="str">
        <f>IF(D79="","",VLOOKUP(F79,'9. All Habitats + Multipliers'!$C$4:$K$102,5,FALSE))</f>
        <v/>
      </c>
      <c r="AH79" s="344" t="str">
        <f>IF(AG79="","",VLOOKUP(AG79,'11. Lists'!$B$47:$D$49,2,FALSE))</f>
        <v/>
      </c>
      <c r="AI79" s="93" t="str">
        <f t="shared" si="19"/>
        <v/>
      </c>
      <c r="AJ79" s="94" t="str">
        <f>IF(AI79="","",VLOOKUP(AI79,'11. Lists'!$F$47:$G$51,2,FALSE))</f>
        <v/>
      </c>
      <c r="AK79" s="372"/>
      <c r="AL79" s="343"/>
      <c r="AM79" s="507"/>
      <c r="AN79" s="93" t="str">
        <f t="shared" si="20"/>
        <v/>
      </c>
      <c r="AO79" s="95" t="str">
        <f>IF(AN79="","",VLOOKUP(AN79,'11. Lists'!$F$36:$H$38,2,FALSE))</f>
        <v/>
      </c>
      <c r="AP79" s="94" t="str">
        <f>IF(AN79="","",VLOOKUP(AN79,'11. Lists'!$F$36:$H$38,3,FALSE))</f>
        <v/>
      </c>
      <c r="AQ79" s="114" t="str">
        <f>IF(D79="","",IF(AX79="Distinctiveness","N/A",VLOOKUP(F79,'10. Condition and Temporal'!$B$6:$L$103,11,FALSE)))</f>
        <v/>
      </c>
      <c r="AR79" s="118" t="str">
        <f>IF(AQ79="","",IF(AQ79="N/A","1",VLOOKUP(AQ79,'11. Lists'!$I$47:$K$80,3,FALSE)))</f>
        <v/>
      </c>
      <c r="AS79" s="524" t="str">
        <f>IF(D79="","",IF(AX79="Condition","N/A",VLOOKUP(F79,'10. Condition and Temporal'!$B$6:$M$106,12,FALSE)))</f>
        <v/>
      </c>
      <c r="AT79" s="118" t="str">
        <f>IF(AS79="","",IF(AS79="N/A","1",VLOOKUP(AS79,'11. Lists'!$I$47:$K$80,3,FALSE)))</f>
        <v/>
      </c>
      <c r="AU79" s="114" t="str">
        <f>IF(D79="","",VLOOKUP(F79,'9. All Habitats + Multipliers'!$C$4:$K$102,8,FALSE))</f>
        <v/>
      </c>
      <c r="AV79" s="115" t="str">
        <f>IF(AU79="","",VLOOKUP(AU79,'11. Lists'!$J$35:$K$38,2,FALSE))</f>
        <v/>
      </c>
      <c r="AW79" s="177" t="str">
        <f>IF(D79="","",VLOOKUP(D79,'10. Condition and Temporal'!$B$6:$M$103,4,FALSE))</f>
        <v/>
      </c>
      <c r="AX79" s="177" t="str">
        <f t="shared" si="21"/>
        <v/>
      </c>
      <c r="AY79" s="463" t="str">
        <f t="shared" si="48"/>
        <v/>
      </c>
      <c r="BA79" s="93">
        <v>12</v>
      </c>
      <c r="BB79" s="95" t="str">
        <f t="shared" si="22"/>
        <v/>
      </c>
      <c r="BC79" s="95" t="str">
        <f t="shared" si="23"/>
        <v/>
      </c>
      <c r="BD79" s="95" t="str">
        <f t="shared" si="24"/>
        <v/>
      </c>
      <c r="BE79" s="95" t="str">
        <f t="shared" si="25"/>
        <v/>
      </c>
      <c r="BF79" s="95" t="str">
        <f t="shared" si="26"/>
        <v/>
      </c>
      <c r="BG79" s="95" t="str">
        <f t="shared" si="27"/>
        <v/>
      </c>
      <c r="BH79" s="95" t="str">
        <f t="shared" si="28"/>
        <v/>
      </c>
      <c r="BI79" s="95" t="str">
        <f t="shared" si="29"/>
        <v/>
      </c>
      <c r="BJ79" s="95" t="str">
        <f t="shared" si="30"/>
        <v/>
      </c>
      <c r="BK79" s="95" t="str">
        <f t="shared" si="31"/>
        <v/>
      </c>
      <c r="BL79" s="95" t="str">
        <f t="shared" si="32"/>
        <v/>
      </c>
      <c r="BM79" s="95" t="str">
        <f t="shared" si="33"/>
        <v/>
      </c>
      <c r="BN79" s="95" t="str">
        <f t="shared" si="34"/>
        <v/>
      </c>
      <c r="BO79" s="95" t="str">
        <f t="shared" si="35"/>
        <v/>
      </c>
      <c r="BP79" s="95" t="str">
        <f t="shared" si="36"/>
        <v/>
      </c>
      <c r="BQ79" s="95" t="str">
        <f t="shared" si="37"/>
        <v/>
      </c>
      <c r="BR79" s="95" t="str">
        <f t="shared" si="38"/>
        <v/>
      </c>
      <c r="BS79" s="95" t="str">
        <f t="shared" si="39"/>
        <v/>
      </c>
      <c r="BT79" s="95" t="str">
        <f t="shared" si="40"/>
        <v/>
      </c>
      <c r="BU79" s="94" t="str">
        <f t="shared" si="41"/>
        <v/>
      </c>
      <c r="BV79" s="184" t="str">
        <f t="shared" si="49"/>
        <v/>
      </c>
      <c r="BW79" s="95" t="s">
        <v>165</v>
      </c>
      <c r="BX79" s="95">
        <f>BM66</f>
        <v>0</v>
      </c>
    </row>
    <row r="80" spans="1:76" s="25" customFormat="1" ht="15.6" x14ac:dyDescent="0.3">
      <c r="A80" s="89"/>
      <c r="B80" s="264">
        <v>13</v>
      </c>
      <c r="C80" s="119" t="str">
        <f t="shared" si="11"/>
        <v/>
      </c>
      <c r="D80" s="208" t="str">
        <f t="shared" si="42"/>
        <v/>
      </c>
      <c r="E80" s="166" t="str">
        <f t="shared" si="12"/>
        <v/>
      </c>
      <c r="F80" s="826"/>
      <c r="G80" s="827"/>
      <c r="H80" s="163" t="str">
        <f t="shared" si="13"/>
        <v/>
      </c>
      <c r="I80" s="321" t="str">
        <f t="shared" si="43"/>
        <v/>
      </c>
      <c r="J80" s="808" t="str">
        <f>IFERROR(IF(F80="","",VLOOKUP(F80,'10. Condition and Temporal'!$B$6:$F$103,5,FALSE)), "Error ▲")</f>
        <v/>
      </c>
      <c r="K80" s="809"/>
      <c r="L80" s="283" t="str">
        <f t="shared" si="44"/>
        <v/>
      </c>
      <c r="M80" s="697" t="str">
        <f t="shared" si="45"/>
        <v/>
      </c>
      <c r="N80" s="698"/>
      <c r="O80" s="74"/>
      <c r="P80" s="12"/>
      <c r="R80" s="741"/>
      <c r="T80" s="177" t="str">
        <f t="shared" si="14"/>
        <v/>
      </c>
      <c r="U80" s="114" t="str">
        <f t="shared" si="46"/>
        <v/>
      </c>
      <c r="V80" s="94" t="str">
        <f t="shared" si="15"/>
        <v/>
      </c>
      <c r="W80" s="93" t="str">
        <f t="shared" si="15"/>
        <v/>
      </c>
      <c r="X80" s="94" t="str">
        <f t="shared" si="15"/>
        <v/>
      </c>
      <c r="Y80" s="372"/>
      <c r="Z80" s="343"/>
      <c r="AA80" s="507"/>
      <c r="AB80" s="93" t="str">
        <f t="shared" si="16"/>
        <v/>
      </c>
      <c r="AC80" s="115" t="str">
        <f t="shared" si="17"/>
        <v/>
      </c>
      <c r="AD80" s="177" t="str">
        <f t="shared" si="50"/>
        <v/>
      </c>
      <c r="AE80" s="177" t="str">
        <f t="shared" si="47"/>
        <v/>
      </c>
      <c r="AF80" s="511" t="str">
        <f t="shared" si="18"/>
        <v/>
      </c>
      <c r="AG80" s="114" t="str">
        <f>IF(D80="","",VLOOKUP(F80,'9. All Habitats + Multipliers'!$C$4:$K$102,5,FALSE))</f>
        <v/>
      </c>
      <c r="AH80" s="344" t="str">
        <f>IF(AG80="","",VLOOKUP(AG80,'11. Lists'!$B$47:$D$49,2,FALSE))</f>
        <v/>
      </c>
      <c r="AI80" s="93" t="str">
        <f t="shared" si="19"/>
        <v/>
      </c>
      <c r="AJ80" s="94" t="str">
        <f>IF(AI80="","",VLOOKUP(AI80,'11. Lists'!$F$47:$G$51,2,FALSE))</f>
        <v/>
      </c>
      <c r="AK80" s="372"/>
      <c r="AL80" s="343"/>
      <c r="AM80" s="507"/>
      <c r="AN80" s="93" t="str">
        <f t="shared" si="20"/>
        <v/>
      </c>
      <c r="AO80" s="95" t="str">
        <f>IF(AN80="","",VLOOKUP(AN80,'11. Lists'!$F$36:$H$38,2,FALSE))</f>
        <v/>
      </c>
      <c r="AP80" s="94" t="str">
        <f>IF(AN80="","",VLOOKUP(AN80,'11. Lists'!$F$36:$H$38,3,FALSE))</f>
        <v/>
      </c>
      <c r="AQ80" s="114" t="str">
        <f>IF(D80="","",IF(AX80="Distinctiveness","N/A",VLOOKUP(F80,'10. Condition and Temporal'!$B$6:$L$103,11,FALSE)))</f>
        <v/>
      </c>
      <c r="AR80" s="118" t="str">
        <f>IF(AQ80="","",IF(AQ80="N/A","1",VLOOKUP(AQ80,'11. Lists'!$I$47:$K$80,3,FALSE)))</f>
        <v/>
      </c>
      <c r="AS80" s="524" t="str">
        <f>IF(D80="","",IF(AX80="Condition","N/A",VLOOKUP(F80,'10. Condition and Temporal'!$B$6:$M$106,12,FALSE)))</f>
        <v/>
      </c>
      <c r="AT80" s="118" t="str">
        <f>IF(AS80="","",IF(AS80="N/A","1",VLOOKUP(AS80,'11. Lists'!$I$47:$K$80,3,FALSE)))</f>
        <v/>
      </c>
      <c r="AU80" s="114" t="str">
        <f>IF(D80="","",VLOOKUP(F80,'9. All Habitats + Multipliers'!$C$4:$K$102,8,FALSE))</f>
        <v/>
      </c>
      <c r="AV80" s="115" t="str">
        <f>IF(AU80="","",VLOOKUP(AU80,'11. Lists'!$J$35:$K$38,2,FALSE))</f>
        <v/>
      </c>
      <c r="AW80" s="177" t="str">
        <f>IF(D80="","",VLOOKUP(D80,'10. Condition and Temporal'!$B$6:$M$103,4,FALSE))</f>
        <v/>
      </c>
      <c r="AX80" s="177" t="str">
        <f t="shared" si="21"/>
        <v/>
      </c>
      <c r="AY80" s="463" t="str">
        <f t="shared" si="48"/>
        <v/>
      </c>
      <c r="BA80" s="93">
        <v>13</v>
      </c>
      <c r="BB80" s="95" t="str">
        <f t="shared" si="22"/>
        <v/>
      </c>
      <c r="BC80" s="95" t="str">
        <f t="shared" si="23"/>
        <v/>
      </c>
      <c r="BD80" s="95" t="str">
        <f t="shared" si="24"/>
        <v/>
      </c>
      <c r="BE80" s="95" t="str">
        <f t="shared" si="25"/>
        <v/>
      </c>
      <c r="BF80" s="95" t="str">
        <f t="shared" si="26"/>
        <v/>
      </c>
      <c r="BG80" s="95" t="str">
        <f t="shared" si="27"/>
        <v/>
      </c>
      <c r="BH80" s="95" t="str">
        <f t="shared" si="28"/>
        <v/>
      </c>
      <c r="BI80" s="95" t="str">
        <f t="shared" si="29"/>
        <v/>
      </c>
      <c r="BJ80" s="95" t="str">
        <f t="shared" si="30"/>
        <v/>
      </c>
      <c r="BK80" s="95" t="str">
        <f t="shared" si="31"/>
        <v/>
      </c>
      <c r="BL80" s="95" t="str">
        <f t="shared" si="32"/>
        <v/>
      </c>
      <c r="BM80" s="95" t="str">
        <f t="shared" si="33"/>
        <v/>
      </c>
      <c r="BN80" s="95" t="str">
        <f t="shared" si="34"/>
        <v/>
      </c>
      <c r="BO80" s="95" t="str">
        <f t="shared" si="35"/>
        <v/>
      </c>
      <c r="BP80" s="95" t="str">
        <f t="shared" si="36"/>
        <v/>
      </c>
      <c r="BQ80" s="95" t="str">
        <f t="shared" si="37"/>
        <v/>
      </c>
      <c r="BR80" s="95" t="str">
        <f t="shared" si="38"/>
        <v/>
      </c>
      <c r="BS80" s="95" t="str">
        <f t="shared" si="39"/>
        <v/>
      </c>
      <c r="BT80" s="95" t="str">
        <f t="shared" si="40"/>
        <v/>
      </c>
      <c r="BU80" s="94" t="str">
        <f t="shared" si="41"/>
        <v/>
      </c>
      <c r="BV80" s="184" t="str">
        <f t="shared" si="49"/>
        <v/>
      </c>
      <c r="BW80" s="95" t="s">
        <v>166</v>
      </c>
      <c r="BX80" s="95">
        <f>BN66</f>
        <v>0</v>
      </c>
    </row>
    <row r="81" spans="1:76" s="25" customFormat="1" ht="15.6" x14ac:dyDescent="0.3">
      <c r="A81" s="89"/>
      <c r="B81" s="264">
        <v>14</v>
      </c>
      <c r="C81" s="119" t="str">
        <f t="shared" si="11"/>
        <v/>
      </c>
      <c r="D81" s="208" t="str">
        <f t="shared" si="42"/>
        <v/>
      </c>
      <c r="E81" s="166" t="str">
        <f t="shared" si="12"/>
        <v/>
      </c>
      <c r="F81" s="826"/>
      <c r="G81" s="827"/>
      <c r="H81" s="163" t="str">
        <f t="shared" si="13"/>
        <v/>
      </c>
      <c r="I81" s="321" t="str">
        <f t="shared" si="43"/>
        <v/>
      </c>
      <c r="J81" s="808" t="str">
        <f>IFERROR(IF(F81="","",VLOOKUP(F81,'10. Condition and Temporal'!$B$6:$F$103,5,FALSE)), "Error ▲")</f>
        <v/>
      </c>
      <c r="K81" s="809"/>
      <c r="L81" s="283" t="str">
        <f t="shared" si="44"/>
        <v/>
      </c>
      <c r="M81" s="697" t="str">
        <f t="shared" si="45"/>
        <v/>
      </c>
      <c r="N81" s="698"/>
      <c r="O81" s="74"/>
      <c r="P81" s="12"/>
      <c r="R81" s="741"/>
      <c r="T81" s="177" t="str">
        <f t="shared" si="14"/>
        <v/>
      </c>
      <c r="U81" s="114" t="str">
        <f t="shared" si="46"/>
        <v/>
      </c>
      <c r="V81" s="94" t="str">
        <f t="shared" si="15"/>
        <v/>
      </c>
      <c r="W81" s="93" t="str">
        <f t="shared" si="15"/>
        <v/>
      </c>
      <c r="X81" s="94" t="str">
        <f t="shared" si="15"/>
        <v/>
      </c>
      <c r="Y81" s="372"/>
      <c r="Z81" s="343"/>
      <c r="AA81" s="507"/>
      <c r="AB81" s="93" t="str">
        <f t="shared" si="16"/>
        <v/>
      </c>
      <c r="AC81" s="115" t="str">
        <f t="shared" si="17"/>
        <v/>
      </c>
      <c r="AD81" s="177" t="str">
        <f t="shared" si="50"/>
        <v/>
      </c>
      <c r="AE81" s="177" t="str">
        <f t="shared" si="47"/>
        <v/>
      </c>
      <c r="AF81" s="511" t="str">
        <f t="shared" si="18"/>
        <v/>
      </c>
      <c r="AG81" s="114" t="str">
        <f>IF(D81="","",VLOOKUP(F81,'9. All Habitats + Multipliers'!$C$4:$K$102,5,FALSE))</f>
        <v/>
      </c>
      <c r="AH81" s="344" t="str">
        <f>IF(AG81="","",VLOOKUP(AG81,'11. Lists'!$B$47:$D$49,2,FALSE))</f>
        <v/>
      </c>
      <c r="AI81" s="93" t="str">
        <f t="shared" si="19"/>
        <v/>
      </c>
      <c r="AJ81" s="94" t="str">
        <f>IF(AI81="","",VLOOKUP(AI81,'11. Lists'!$F$47:$G$51,2,FALSE))</f>
        <v/>
      </c>
      <c r="AK81" s="372"/>
      <c r="AL81" s="343"/>
      <c r="AM81" s="507"/>
      <c r="AN81" s="93" t="str">
        <f t="shared" si="20"/>
        <v/>
      </c>
      <c r="AO81" s="95" t="str">
        <f>IF(AN81="","",VLOOKUP(AN81,'11. Lists'!$F$36:$H$38,2,FALSE))</f>
        <v/>
      </c>
      <c r="AP81" s="94" t="str">
        <f>IF(AN81="","",VLOOKUP(AN81,'11. Lists'!$F$36:$H$38,3,FALSE))</f>
        <v/>
      </c>
      <c r="AQ81" s="114" t="str">
        <f>IF(D81="","",IF(AX81="Distinctiveness","N/A",VLOOKUP(F81,'10. Condition and Temporal'!$B$6:$L$103,11,FALSE)))</f>
        <v/>
      </c>
      <c r="AR81" s="118" t="str">
        <f>IF(AQ81="","",IF(AQ81="N/A","1",VLOOKUP(AQ81,'11. Lists'!$I$47:$K$80,3,FALSE)))</f>
        <v/>
      </c>
      <c r="AS81" s="524" t="str">
        <f>IF(D81="","",IF(AX81="Condition","N/A",VLOOKUP(F81,'10. Condition and Temporal'!$B$6:$M$106,12,FALSE)))</f>
        <v/>
      </c>
      <c r="AT81" s="118" t="str">
        <f>IF(AS81="","",IF(AS81="N/A","1",VLOOKUP(AS81,'11. Lists'!$I$47:$K$80,3,FALSE)))</f>
        <v/>
      </c>
      <c r="AU81" s="114" t="str">
        <f>IF(D81="","",VLOOKUP(F81,'9. All Habitats + Multipliers'!$C$4:$K$102,8,FALSE))</f>
        <v/>
      </c>
      <c r="AV81" s="115" t="str">
        <f>IF(AU81="","",VLOOKUP(AU81,'11. Lists'!$J$35:$K$38,2,FALSE))</f>
        <v/>
      </c>
      <c r="AW81" s="177" t="str">
        <f>IF(D81="","",VLOOKUP(D81,'10. Condition and Temporal'!$B$6:$M$103,4,FALSE))</f>
        <v/>
      </c>
      <c r="AX81" s="177" t="str">
        <f t="shared" si="21"/>
        <v/>
      </c>
      <c r="AY81" s="463" t="str">
        <f t="shared" si="48"/>
        <v/>
      </c>
      <c r="BA81" s="93">
        <v>14</v>
      </c>
      <c r="BB81" s="95" t="str">
        <f t="shared" si="22"/>
        <v/>
      </c>
      <c r="BC81" s="95" t="str">
        <f t="shared" si="23"/>
        <v/>
      </c>
      <c r="BD81" s="95" t="str">
        <f t="shared" si="24"/>
        <v/>
      </c>
      <c r="BE81" s="95" t="str">
        <f t="shared" si="25"/>
        <v/>
      </c>
      <c r="BF81" s="95" t="str">
        <f t="shared" si="26"/>
        <v/>
      </c>
      <c r="BG81" s="95" t="str">
        <f t="shared" si="27"/>
        <v/>
      </c>
      <c r="BH81" s="95" t="str">
        <f t="shared" si="28"/>
        <v/>
      </c>
      <c r="BI81" s="95" t="str">
        <f t="shared" si="29"/>
        <v/>
      </c>
      <c r="BJ81" s="95" t="str">
        <f t="shared" si="30"/>
        <v/>
      </c>
      <c r="BK81" s="95" t="str">
        <f t="shared" si="31"/>
        <v/>
      </c>
      <c r="BL81" s="95" t="str">
        <f t="shared" si="32"/>
        <v/>
      </c>
      <c r="BM81" s="95" t="str">
        <f t="shared" si="33"/>
        <v/>
      </c>
      <c r="BN81" s="95" t="str">
        <f t="shared" si="34"/>
        <v/>
      </c>
      <c r="BO81" s="95" t="str">
        <f t="shared" si="35"/>
        <v/>
      </c>
      <c r="BP81" s="95" t="str">
        <f t="shared" si="36"/>
        <v/>
      </c>
      <c r="BQ81" s="95" t="str">
        <f t="shared" si="37"/>
        <v/>
      </c>
      <c r="BR81" s="95" t="str">
        <f t="shared" si="38"/>
        <v/>
      </c>
      <c r="BS81" s="95" t="str">
        <f t="shared" si="39"/>
        <v/>
      </c>
      <c r="BT81" s="95" t="str">
        <f t="shared" si="40"/>
        <v/>
      </c>
      <c r="BU81" s="94" t="str">
        <f t="shared" si="41"/>
        <v/>
      </c>
      <c r="BV81" s="184" t="str">
        <f t="shared" si="49"/>
        <v/>
      </c>
      <c r="BW81" s="95" t="s">
        <v>167</v>
      </c>
      <c r="BX81" s="95">
        <f>BO66</f>
        <v>0</v>
      </c>
    </row>
    <row r="82" spans="1:76" s="25" customFormat="1" ht="15.6" x14ac:dyDescent="0.3">
      <c r="A82" s="89"/>
      <c r="B82" s="264">
        <v>15</v>
      </c>
      <c r="C82" s="119" t="str">
        <f t="shared" si="11"/>
        <v/>
      </c>
      <c r="D82" s="208" t="str">
        <f t="shared" si="42"/>
        <v/>
      </c>
      <c r="E82" s="166" t="str">
        <f t="shared" si="12"/>
        <v/>
      </c>
      <c r="F82" s="826"/>
      <c r="G82" s="827"/>
      <c r="H82" s="163" t="str">
        <f t="shared" si="13"/>
        <v/>
      </c>
      <c r="I82" s="321" t="str">
        <f t="shared" si="43"/>
        <v/>
      </c>
      <c r="J82" s="808" t="str">
        <f>IFERROR(IF(F82="","",VLOOKUP(F82,'10. Condition and Temporal'!$B$6:$F$103,5,FALSE)), "Error ▲")</f>
        <v/>
      </c>
      <c r="K82" s="809"/>
      <c r="L82" s="283" t="str">
        <f t="shared" si="44"/>
        <v/>
      </c>
      <c r="M82" s="697" t="str">
        <f t="shared" si="45"/>
        <v/>
      </c>
      <c r="N82" s="698"/>
      <c r="O82" s="74"/>
      <c r="P82" s="12"/>
      <c r="R82" s="741"/>
      <c r="T82" s="177" t="str">
        <f t="shared" si="14"/>
        <v/>
      </c>
      <c r="U82" s="114" t="str">
        <f t="shared" si="46"/>
        <v/>
      </c>
      <c r="V82" s="94" t="str">
        <f t="shared" si="15"/>
        <v/>
      </c>
      <c r="W82" s="93" t="str">
        <f t="shared" si="15"/>
        <v/>
      </c>
      <c r="X82" s="94" t="str">
        <f t="shared" si="15"/>
        <v/>
      </c>
      <c r="Y82" s="372"/>
      <c r="Z82" s="343"/>
      <c r="AA82" s="507"/>
      <c r="AB82" s="93" t="str">
        <f t="shared" si="16"/>
        <v/>
      </c>
      <c r="AC82" s="115" t="str">
        <f t="shared" si="17"/>
        <v/>
      </c>
      <c r="AD82" s="177" t="str">
        <f t="shared" si="50"/>
        <v/>
      </c>
      <c r="AE82" s="177" t="str">
        <f t="shared" si="47"/>
        <v/>
      </c>
      <c r="AF82" s="511" t="str">
        <f t="shared" si="18"/>
        <v/>
      </c>
      <c r="AG82" s="114" t="str">
        <f>IF(D82="","",VLOOKUP(F82,'9. All Habitats + Multipliers'!$C$4:$K$102,5,FALSE))</f>
        <v/>
      </c>
      <c r="AH82" s="344" t="str">
        <f>IF(AG82="","",VLOOKUP(AG82,'11. Lists'!$B$47:$D$49,2,FALSE))</f>
        <v/>
      </c>
      <c r="AI82" s="93" t="str">
        <f t="shared" si="19"/>
        <v/>
      </c>
      <c r="AJ82" s="94" t="str">
        <f>IF(AI82="","",VLOOKUP(AI82,'11. Lists'!$F$47:$G$51,2,FALSE))</f>
        <v/>
      </c>
      <c r="AK82" s="372"/>
      <c r="AL82" s="343"/>
      <c r="AM82" s="507"/>
      <c r="AN82" s="93" t="str">
        <f t="shared" si="20"/>
        <v/>
      </c>
      <c r="AO82" s="95" t="str">
        <f>IF(AN82="","",VLOOKUP(AN82,'11. Lists'!$F$36:$H$38,2,FALSE))</f>
        <v/>
      </c>
      <c r="AP82" s="94" t="str">
        <f>IF(AN82="","",VLOOKUP(AN82,'11. Lists'!$F$36:$H$38,3,FALSE))</f>
        <v/>
      </c>
      <c r="AQ82" s="114" t="str">
        <f>IF(D82="","",IF(AX82="Distinctiveness","N/A",VLOOKUP(F82,'10. Condition and Temporal'!$B$6:$L$103,11,FALSE)))</f>
        <v/>
      </c>
      <c r="AR82" s="118" t="str">
        <f>IF(AQ82="","",IF(AQ82="N/A","1",VLOOKUP(AQ82,'11. Lists'!$I$47:$K$80,3,FALSE)))</f>
        <v/>
      </c>
      <c r="AS82" s="524" t="str">
        <f>IF(D82="","",IF(AX82="Condition","N/A",VLOOKUP(F82,'10. Condition and Temporal'!$B$6:$M$106,12,FALSE)))</f>
        <v/>
      </c>
      <c r="AT82" s="118" t="str">
        <f>IF(AS82="","",IF(AS82="N/A","1",VLOOKUP(AS82,'11. Lists'!$I$47:$K$80,3,FALSE)))</f>
        <v/>
      </c>
      <c r="AU82" s="114" t="str">
        <f>IF(D82="","",VLOOKUP(F82,'9. All Habitats + Multipliers'!$C$4:$K$102,8,FALSE))</f>
        <v/>
      </c>
      <c r="AV82" s="115" t="str">
        <f>IF(AU82="","",VLOOKUP(AU82,'11. Lists'!$J$35:$K$38,2,FALSE))</f>
        <v/>
      </c>
      <c r="AW82" s="177" t="str">
        <f>IF(D82="","",VLOOKUP(D82,'10. Condition and Temporal'!$B$6:$M$103,4,FALSE))</f>
        <v/>
      </c>
      <c r="AX82" s="177" t="str">
        <f t="shared" si="21"/>
        <v/>
      </c>
      <c r="AY82" s="463" t="str">
        <f t="shared" si="48"/>
        <v/>
      </c>
      <c r="BA82" s="93">
        <v>15</v>
      </c>
      <c r="BB82" s="95" t="str">
        <f t="shared" si="22"/>
        <v/>
      </c>
      <c r="BC82" s="95" t="str">
        <f t="shared" si="23"/>
        <v/>
      </c>
      <c r="BD82" s="95" t="str">
        <f t="shared" si="24"/>
        <v/>
      </c>
      <c r="BE82" s="95" t="str">
        <f t="shared" si="25"/>
        <v/>
      </c>
      <c r="BF82" s="95" t="str">
        <f t="shared" si="26"/>
        <v/>
      </c>
      <c r="BG82" s="95" t="str">
        <f t="shared" si="27"/>
        <v/>
      </c>
      <c r="BH82" s="95" t="str">
        <f t="shared" si="28"/>
        <v/>
      </c>
      <c r="BI82" s="95" t="str">
        <f t="shared" si="29"/>
        <v/>
      </c>
      <c r="BJ82" s="95" t="str">
        <f t="shared" si="30"/>
        <v/>
      </c>
      <c r="BK82" s="95" t="str">
        <f t="shared" si="31"/>
        <v/>
      </c>
      <c r="BL82" s="95" t="str">
        <f t="shared" si="32"/>
        <v/>
      </c>
      <c r="BM82" s="95" t="str">
        <f t="shared" si="33"/>
        <v/>
      </c>
      <c r="BN82" s="95" t="str">
        <f t="shared" si="34"/>
        <v/>
      </c>
      <c r="BO82" s="95" t="str">
        <f t="shared" si="35"/>
        <v/>
      </c>
      <c r="BP82" s="95" t="str">
        <f t="shared" si="36"/>
        <v/>
      </c>
      <c r="BQ82" s="95" t="str">
        <f t="shared" si="37"/>
        <v/>
      </c>
      <c r="BR82" s="95" t="str">
        <f t="shared" si="38"/>
        <v/>
      </c>
      <c r="BS82" s="95" t="str">
        <f t="shared" si="39"/>
        <v/>
      </c>
      <c r="BT82" s="95" t="str">
        <f t="shared" si="40"/>
        <v/>
      </c>
      <c r="BU82" s="94" t="str">
        <f t="shared" si="41"/>
        <v/>
      </c>
      <c r="BV82" s="184" t="str">
        <f t="shared" si="49"/>
        <v/>
      </c>
      <c r="BW82" s="95" t="s">
        <v>168</v>
      </c>
      <c r="BX82" s="95">
        <f>BP66</f>
        <v>0</v>
      </c>
    </row>
    <row r="83" spans="1:76" s="25" customFormat="1" ht="15.6" x14ac:dyDescent="0.3">
      <c r="A83" s="89"/>
      <c r="B83" s="264">
        <v>16</v>
      </c>
      <c r="C83" s="119" t="str">
        <f t="shared" si="11"/>
        <v/>
      </c>
      <c r="D83" s="208" t="str">
        <f t="shared" si="42"/>
        <v/>
      </c>
      <c r="E83" s="166" t="str">
        <f t="shared" si="12"/>
        <v/>
      </c>
      <c r="F83" s="826"/>
      <c r="G83" s="827"/>
      <c r="H83" s="163" t="str">
        <f t="shared" si="13"/>
        <v/>
      </c>
      <c r="I83" s="321" t="str">
        <f t="shared" si="43"/>
        <v/>
      </c>
      <c r="J83" s="808" t="str">
        <f>IFERROR(IF(F83="","",VLOOKUP(F83,'10. Condition and Temporal'!$B$6:$F$103,5,FALSE)), "Error ▲")</f>
        <v/>
      </c>
      <c r="K83" s="809"/>
      <c r="L83" s="283" t="str">
        <f t="shared" si="44"/>
        <v/>
      </c>
      <c r="M83" s="697" t="str">
        <f t="shared" si="45"/>
        <v/>
      </c>
      <c r="N83" s="698"/>
      <c r="O83" s="74"/>
      <c r="P83" s="12"/>
      <c r="R83" s="741"/>
      <c r="T83" s="177" t="str">
        <f t="shared" si="14"/>
        <v/>
      </c>
      <c r="U83" s="114" t="str">
        <f t="shared" si="46"/>
        <v/>
      </c>
      <c r="V83" s="94" t="str">
        <f t="shared" si="15"/>
        <v/>
      </c>
      <c r="W83" s="93" t="str">
        <f t="shared" si="15"/>
        <v/>
      </c>
      <c r="X83" s="94" t="str">
        <f t="shared" si="15"/>
        <v/>
      </c>
      <c r="Y83" s="372"/>
      <c r="Z83" s="343"/>
      <c r="AA83" s="507"/>
      <c r="AB83" s="93" t="str">
        <f t="shared" si="16"/>
        <v/>
      </c>
      <c r="AC83" s="115" t="str">
        <f t="shared" si="17"/>
        <v/>
      </c>
      <c r="AD83" s="177" t="str">
        <f t="shared" si="50"/>
        <v/>
      </c>
      <c r="AE83" s="177" t="str">
        <f t="shared" si="47"/>
        <v/>
      </c>
      <c r="AF83" s="511" t="str">
        <f t="shared" si="18"/>
        <v/>
      </c>
      <c r="AG83" s="114" t="str">
        <f>IF(D83="","",VLOOKUP(F83,'9. All Habitats + Multipliers'!$C$4:$K$102,5,FALSE))</f>
        <v/>
      </c>
      <c r="AH83" s="344" t="str">
        <f>IF(AG83="","",VLOOKUP(AG83,'11. Lists'!$B$47:$D$49,2,FALSE))</f>
        <v/>
      </c>
      <c r="AI83" s="93" t="str">
        <f t="shared" si="19"/>
        <v/>
      </c>
      <c r="AJ83" s="94" t="str">
        <f>IF(AI83="","",VLOOKUP(AI83,'11. Lists'!$F$47:$G$51,2,FALSE))</f>
        <v/>
      </c>
      <c r="AK83" s="372"/>
      <c r="AL83" s="343"/>
      <c r="AM83" s="507"/>
      <c r="AN83" s="93" t="str">
        <f t="shared" si="20"/>
        <v/>
      </c>
      <c r="AO83" s="95" t="str">
        <f>IF(AN83="","",VLOOKUP(AN83,'11. Lists'!$F$36:$H$38,2,FALSE))</f>
        <v/>
      </c>
      <c r="AP83" s="94" t="str">
        <f>IF(AN83="","",VLOOKUP(AN83,'11. Lists'!$F$36:$H$38,3,FALSE))</f>
        <v/>
      </c>
      <c r="AQ83" s="114" t="str">
        <f>IF(D83="","",IF(AX83="Distinctiveness","N/A",VLOOKUP(F83,'10. Condition and Temporal'!$B$6:$L$103,11,FALSE)))</f>
        <v/>
      </c>
      <c r="AR83" s="118" t="str">
        <f>IF(AQ83="","",IF(AQ83="N/A","1",VLOOKUP(AQ83,'11. Lists'!$I$47:$K$80,3,FALSE)))</f>
        <v/>
      </c>
      <c r="AS83" s="524" t="str">
        <f>IF(D83="","",IF(AX83="Condition","N/A",VLOOKUP(F83,'10. Condition and Temporal'!$B$6:$M$106,12,FALSE)))</f>
        <v/>
      </c>
      <c r="AT83" s="118" t="str">
        <f>IF(AS83="","",IF(AS83="N/A","1",VLOOKUP(AS83,'11. Lists'!$I$47:$K$80,3,FALSE)))</f>
        <v/>
      </c>
      <c r="AU83" s="114" t="str">
        <f>IF(D83="","",VLOOKUP(F83,'9. All Habitats + Multipliers'!$C$4:$K$102,8,FALSE))</f>
        <v/>
      </c>
      <c r="AV83" s="115" t="str">
        <f>IF(AU83="","",VLOOKUP(AU83,'11. Lists'!$J$35:$K$38,2,FALSE))</f>
        <v/>
      </c>
      <c r="AW83" s="177" t="str">
        <f>IF(D83="","",VLOOKUP(D83,'10. Condition and Temporal'!$B$6:$M$103,4,FALSE))</f>
        <v/>
      </c>
      <c r="AX83" s="177" t="str">
        <f t="shared" si="21"/>
        <v/>
      </c>
      <c r="AY83" s="463" t="str">
        <f t="shared" si="48"/>
        <v/>
      </c>
      <c r="BA83" s="93">
        <v>16</v>
      </c>
      <c r="BB83" s="95" t="str">
        <f t="shared" si="22"/>
        <v/>
      </c>
      <c r="BC83" s="95" t="str">
        <f t="shared" si="23"/>
        <v/>
      </c>
      <c r="BD83" s="95" t="str">
        <f t="shared" si="24"/>
        <v/>
      </c>
      <c r="BE83" s="95" t="str">
        <f t="shared" si="25"/>
        <v/>
      </c>
      <c r="BF83" s="95" t="str">
        <f t="shared" si="26"/>
        <v/>
      </c>
      <c r="BG83" s="95" t="str">
        <f t="shared" si="27"/>
        <v/>
      </c>
      <c r="BH83" s="95" t="str">
        <f t="shared" si="28"/>
        <v/>
      </c>
      <c r="BI83" s="95" t="str">
        <f t="shared" si="29"/>
        <v/>
      </c>
      <c r="BJ83" s="95" t="str">
        <f t="shared" si="30"/>
        <v/>
      </c>
      <c r="BK83" s="95" t="str">
        <f t="shared" si="31"/>
        <v/>
      </c>
      <c r="BL83" s="95" t="str">
        <f t="shared" si="32"/>
        <v/>
      </c>
      <c r="BM83" s="95" t="str">
        <f t="shared" si="33"/>
        <v/>
      </c>
      <c r="BN83" s="95" t="str">
        <f t="shared" si="34"/>
        <v/>
      </c>
      <c r="BO83" s="95" t="str">
        <f t="shared" si="35"/>
        <v/>
      </c>
      <c r="BP83" s="95" t="str">
        <f t="shared" si="36"/>
        <v/>
      </c>
      <c r="BQ83" s="95" t="str">
        <f t="shared" si="37"/>
        <v/>
      </c>
      <c r="BR83" s="95" t="str">
        <f t="shared" si="38"/>
        <v/>
      </c>
      <c r="BS83" s="95" t="str">
        <f t="shared" si="39"/>
        <v/>
      </c>
      <c r="BT83" s="95" t="str">
        <f t="shared" si="40"/>
        <v/>
      </c>
      <c r="BU83" s="94" t="str">
        <f t="shared" si="41"/>
        <v/>
      </c>
      <c r="BV83" s="184" t="str">
        <f t="shared" si="49"/>
        <v/>
      </c>
      <c r="BW83" s="95" t="s">
        <v>169</v>
      </c>
      <c r="BX83" s="95">
        <f>BQ66</f>
        <v>0</v>
      </c>
    </row>
    <row r="84" spans="1:76" s="25" customFormat="1" ht="15.6" x14ac:dyDescent="0.3">
      <c r="A84" s="89"/>
      <c r="B84" s="264">
        <v>17</v>
      </c>
      <c r="C84" s="119" t="str">
        <f t="shared" si="11"/>
        <v/>
      </c>
      <c r="D84" s="208" t="str">
        <f t="shared" si="42"/>
        <v/>
      </c>
      <c r="E84" s="166" t="str">
        <f t="shared" si="12"/>
        <v/>
      </c>
      <c r="F84" s="826"/>
      <c r="G84" s="827"/>
      <c r="H84" s="163" t="str">
        <f t="shared" si="13"/>
        <v/>
      </c>
      <c r="I84" s="321" t="str">
        <f t="shared" si="43"/>
        <v/>
      </c>
      <c r="J84" s="808" t="str">
        <f>IFERROR(IF(F84="","",VLOOKUP(F84,'10. Condition and Temporal'!$B$6:$F$103,5,FALSE)), "Error ▲")</f>
        <v/>
      </c>
      <c r="K84" s="809"/>
      <c r="L84" s="283" t="str">
        <f t="shared" si="44"/>
        <v/>
      </c>
      <c r="M84" s="697" t="str">
        <f t="shared" si="45"/>
        <v/>
      </c>
      <c r="N84" s="698"/>
      <c r="O84" s="74"/>
      <c r="P84" s="12"/>
      <c r="R84" s="741"/>
      <c r="T84" s="177" t="str">
        <f t="shared" si="14"/>
        <v/>
      </c>
      <c r="U84" s="114" t="str">
        <f t="shared" si="46"/>
        <v/>
      </c>
      <c r="V84" s="94" t="str">
        <f t="shared" si="15"/>
        <v/>
      </c>
      <c r="W84" s="93" t="str">
        <f t="shared" si="15"/>
        <v/>
      </c>
      <c r="X84" s="94" t="str">
        <f t="shared" si="15"/>
        <v/>
      </c>
      <c r="Y84" s="372"/>
      <c r="Z84" s="343"/>
      <c r="AA84" s="507"/>
      <c r="AB84" s="93" t="str">
        <f t="shared" si="16"/>
        <v/>
      </c>
      <c r="AC84" s="115" t="str">
        <f t="shared" si="17"/>
        <v/>
      </c>
      <c r="AD84" s="177" t="str">
        <f t="shared" si="50"/>
        <v/>
      </c>
      <c r="AE84" s="177" t="str">
        <f t="shared" si="47"/>
        <v/>
      </c>
      <c r="AF84" s="511" t="str">
        <f t="shared" si="18"/>
        <v/>
      </c>
      <c r="AG84" s="114" t="str">
        <f>IF(D84="","",VLOOKUP(F84,'9. All Habitats + Multipliers'!$C$4:$K$102,5,FALSE))</f>
        <v/>
      </c>
      <c r="AH84" s="344" t="str">
        <f>IF(AG84="","",VLOOKUP(AG84,'11. Lists'!$B$47:$D$49,2,FALSE))</f>
        <v/>
      </c>
      <c r="AI84" s="93" t="str">
        <f t="shared" si="19"/>
        <v/>
      </c>
      <c r="AJ84" s="94" t="str">
        <f>IF(AI84="","",VLOOKUP(AI84,'11. Lists'!$F$47:$G$51,2,FALSE))</f>
        <v/>
      </c>
      <c r="AK84" s="372"/>
      <c r="AL84" s="343"/>
      <c r="AM84" s="507"/>
      <c r="AN84" s="93" t="str">
        <f t="shared" si="20"/>
        <v/>
      </c>
      <c r="AO84" s="95" t="str">
        <f>IF(AN84="","",VLOOKUP(AN84,'11. Lists'!$F$36:$H$38,2,FALSE))</f>
        <v/>
      </c>
      <c r="AP84" s="94" t="str">
        <f>IF(AN84="","",VLOOKUP(AN84,'11. Lists'!$F$36:$H$38,3,FALSE))</f>
        <v/>
      </c>
      <c r="AQ84" s="114" t="str">
        <f>IF(D84="","",IF(AX84="Distinctiveness","N/A",VLOOKUP(F84,'10. Condition and Temporal'!$B$6:$L$103,11,FALSE)))</f>
        <v/>
      </c>
      <c r="AR84" s="118" t="str">
        <f>IF(AQ84="","",IF(AQ84="N/A","1",VLOOKUP(AQ84,'11. Lists'!$I$47:$K$80,3,FALSE)))</f>
        <v/>
      </c>
      <c r="AS84" s="524" t="str">
        <f>IF(D84="","",IF(AX84="Condition","N/A",VLOOKUP(F84,'10. Condition and Temporal'!$B$6:$M$106,12,FALSE)))</f>
        <v/>
      </c>
      <c r="AT84" s="118" t="str">
        <f>IF(AS84="","",IF(AS84="N/A","1",VLOOKUP(AS84,'11. Lists'!$I$47:$K$80,3,FALSE)))</f>
        <v/>
      </c>
      <c r="AU84" s="114" t="str">
        <f>IF(D84="","",VLOOKUP(F84,'9. All Habitats + Multipliers'!$C$4:$K$102,8,FALSE))</f>
        <v/>
      </c>
      <c r="AV84" s="115" t="str">
        <f>IF(AU84="","",VLOOKUP(AU84,'11. Lists'!$J$35:$K$38,2,FALSE))</f>
        <v/>
      </c>
      <c r="AW84" s="177" t="str">
        <f>IF(D84="","",VLOOKUP(D84,'10. Condition and Temporal'!$B$6:$M$103,4,FALSE))</f>
        <v/>
      </c>
      <c r="AX84" s="177" t="str">
        <f t="shared" si="21"/>
        <v/>
      </c>
      <c r="AY84" s="463" t="str">
        <f t="shared" si="48"/>
        <v/>
      </c>
      <c r="BA84" s="93">
        <v>17</v>
      </c>
      <c r="BB84" s="95" t="str">
        <f t="shared" si="22"/>
        <v/>
      </c>
      <c r="BC84" s="95" t="str">
        <f t="shared" si="23"/>
        <v/>
      </c>
      <c r="BD84" s="95" t="str">
        <f t="shared" si="24"/>
        <v/>
      </c>
      <c r="BE84" s="95" t="str">
        <f t="shared" si="25"/>
        <v/>
      </c>
      <c r="BF84" s="95" t="str">
        <f t="shared" si="26"/>
        <v/>
      </c>
      <c r="BG84" s="95" t="str">
        <f t="shared" si="27"/>
        <v/>
      </c>
      <c r="BH84" s="95" t="str">
        <f t="shared" si="28"/>
        <v/>
      </c>
      <c r="BI84" s="95" t="str">
        <f t="shared" si="29"/>
        <v/>
      </c>
      <c r="BJ84" s="95" t="str">
        <f t="shared" si="30"/>
        <v/>
      </c>
      <c r="BK84" s="95" t="str">
        <f t="shared" si="31"/>
        <v/>
      </c>
      <c r="BL84" s="95" t="str">
        <f t="shared" si="32"/>
        <v/>
      </c>
      <c r="BM84" s="95" t="str">
        <f t="shared" si="33"/>
        <v/>
      </c>
      <c r="BN84" s="95" t="str">
        <f t="shared" si="34"/>
        <v/>
      </c>
      <c r="BO84" s="95" t="str">
        <f t="shared" si="35"/>
        <v/>
      </c>
      <c r="BP84" s="95" t="str">
        <f t="shared" si="36"/>
        <v/>
      </c>
      <c r="BQ84" s="95" t="str">
        <f t="shared" si="37"/>
        <v/>
      </c>
      <c r="BR84" s="95" t="str">
        <f t="shared" si="38"/>
        <v/>
      </c>
      <c r="BS84" s="95" t="str">
        <f t="shared" si="39"/>
        <v/>
      </c>
      <c r="BT84" s="95" t="str">
        <f t="shared" si="40"/>
        <v/>
      </c>
      <c r="BU84" s="94" t="str">
        <f t="shared" si="41"/>
        <v/>
      </c>
      <c r="BV84" s="184" t="str">
        <f t="shared" si="49"/>
        <v/>
      </c>
      <c r="BW84" s="95" t="s">
        <v>170</v>
      </c>
      <c r="BX84" s="95">
        <f>BR66</f>
        <v>0</v>
      </c>
    </row>
    <row r="85" spans="1:76" s="25" customFormat="1" ht="15.6" x14ac:dyDescent="0.3">
      <c r="A85" s="89"/>
      <c r="B85" s="264">
        <v>18</v>
      </c>
      <c r="C85" s="119" t="str">
        <f t="shared" si="11"/>
        <v/>
      </c>
      <c r="D85" s="208" t="str">
        <f t="shared" si="42"/>
        <v/>
      </c>
      <c r="E85" s="166" t="str">
        <f t="shared" si="12"/>
        <v/>
      </c>
      <c r="F85" s="826"/>
      <c r="G85" s="827"/>
      <c r="H85" s="163" t="str">
        <f t="shared" si="13"/>
        <v/>
      </c>
      <c r="I85" s="321" t="str">
        <f t="shared" si="43"/>
        <v/>
      </c>
      <c r="J85" s="808" t="str">
        <f>IFERROR(IF(F85="","",VLOOKUP(F85,'10. Condition and Temporal'!$B$6:$F$103,5,FALSE)), "Error ▲")</f>
        <v/>
      </c>
      <c r="K85" s="809"/>
      <c r="L85" s="283" t="str">
        <f t="shared" si="44"/>
        <v/>
      </c>
      <c r="M85" s="697" t="str">
        <f t="shared" si="45"/>
        <v/>
      </c>
      <c r="N85" s="698"/>
      <c r="O85" s="74"/>
      <c r="P85" s="12"/>
      <c r="R85" s="741"/>
      <c r="T85" s="177" t="str">
        <f t="shared" si="14"/>
        <v/>
      </c>
      <c r="U85" s="114" t="str">
        <f t="shared" si="46"/>
        <v/>
      </c>
      <c r="V85" s="94" t="str">
        <f t="shared" si="15"/>
        <v/>
      </c>
      <c r="W85" s="93" t="str">
        <f t="shared" si="15"/>
        <v/>
      </c>
      <c r="X85" s="94" t="str">
        <f t="shared" si="15"/>
        <v/>
      </c>
      <c r="Y85" s="372"/>
      <c r="Z85" s="343"/>
      <c r="AA85" s="507"/>
      <c r="AB85" s="93" t="str">
        <f t="shared" si="16"/>
        <v/>
      </c>
      <c r="AC85" s="115" t="str">
        <f t="shared" si="17"/>
        <v/>
      </c>
      <c r="AD85" s="177" t="str">
        <f t="shared" si="50"/>
        <v/>
      </c>
      <c r="AE85" s="177" t="str">
        <f t="shared" si="47"/>
        <v/>
      </c>
      <c r="AF85" s="511" t="str">
        <f t="shared" si="18"/>
        <v/>
      </c>
      <c r="AG85" s="114" t="str">
        <f>IF(D85="","",VLOOKUP(F85,'9. All Habitats + Multipliers'!$C$4:$K$102,5,FALSE))</f>
        <v/>
      </c>
      <c r="AH85" s="344" t="str">
        <f>IF(AG85="","",VLOOKUP(AG85,'11. Lists'!$B$47:$D$49,2,FALSE))</f>
        <v/>
      </c>
      <c r="AI85" s="93" t="str">
        <f t="shared" si="19"/>
        <v/>
      </c>
      <c r="AJ85" s="94" t="str">
        <f>IF(AI85="","",VLOOKUP(AI85,'11. Lists'!$F$47:$G$51,2,FALSE))</f>
        <v/>
      </c>
      <c r="AK85" s="372"/>
      <c r="AL85" s="343"/>
      <c r="AM85" s="507"/>
      <c r="AN85" s="93" t="str">
        <f t="shared" si="20"/>
        <v/>
      </c>
      <c r="AO85" s="95" t="str">
        <f>IF(AN85="","",VLOOKUP(AN85,'11. Lists'!$F$36:$H$38,2,FALSE))</f>
        <v/>
      </c>
      <c r="AP85" s="94" t="str">
        <f>IF(AN85="","",VLOOKUP(AN85,'11. Lists'!$F$36:$H$38,3,FALSE))</f>
        <v/>
      </c>
      <c r="AQ85" s="114" t="str">
        <f>IF(D85="","",IF(AX85="Distinctiveness","N/A",VLOOKUP(F85,'10. Condition and Temporal'!$B$6:$L$103,11,FALSE)))</f>
        <v/>
      </c>
      <c r="AR85" s="118" t="str">
        <f>IF(AQ85="","",IF(AQ85="N/A","1",VLOOKUP(AQ85,'11. Lists'!$I$47:$K$80,3,FALSE)))</f>
        <v/>
      </c>
      <c r="AS85" s="524" t="str">
        <f>IF(D85="","",IF(AX85="Condition","N/A",VLOOKUP(F85,'10. Condition and Temporal'!$B$6:$M$106,12,FALSE)))</f>
        <v/>
      </c>
      <c r="AT85" s="118" t="str">
        <f>IF(AS85="","",IF(AS85="N/A","1",VLOOKUP(AS85,'11. Lists'!$I$47:$K$80,3,FALSE)))</f>
        <v/>
      </c>
      <c r="AU85" s="114" t="str">
        <f>IF(D85="","",VLOOKUP(F85,'9. All Habitats + Multipliers'!$C$4:$K$102,8,FALSE))</f>
        <v/>
      </c>
      <c r="AV85" s="115" t="str">
        <f>IF(AU85="","",VLOOKUP(AU85,'11. Lists'!$J$35:$K$38,2,FALSE))</f>
        <v/>
      </c>
      <c r="AW85" s="177" t="str">
        <f>IF(D85="","",VLOOKUP(D85,'10. Condition and Temporal'!$B$6:$M$103,4,FALSE))</f>
        <v/>
      </c>
      <c r="AX85" s="177" t="str">
        <f t="shared" si="21"/>
        <v/>
      </c>
      <c r="AY85" s="463" t="str">
        <f t="shared" si="48"/>
        <v/>
      </c>
      <c r="BA85" s="93">
        <v>18</v>
      </c>
      <c r="BB85" s="95" t="str">
        <f t="shared" si="22"/>
        <v/>
      </c>
      <c r="BC85" s="95" t="str">
        <f t="shared" si="23"/>
        <v/>
      </c>
      <c r="BD85" s="95" t="str">
        <f t="shared" si="24"/>
        <v/>
      </c>
      <c r="BE85" s="95" t="str">
        <f t="shared" si="25"/>
        <v/>
      </c>
      <c r="BF85" s="95" t="str">
        <f t="shared" si="26"/>
        <v/>
      </c>
      <c r="BG85" s="95" t="str">
        <f t="shared" si="27"/>
        <v/>
      </c>
      <c r="BH85" s="95" t="str">
        <f t="shared" si="28"/>
        <v/>
      </c>
      <c r="BI85" s="95" t="str">
        <f t="shared" si="29"/>
        <v/>
      </c>
      <c r="BJ85" s="95" t="str">
        <f t="shared" si="30"/>
        <v/>
      </c>
      <c r="BK85" s="95" t="str">
        <f t="shared" si="31"/>
        <v/>
      </c>
      <c r="BL85" s="95" t="str">
        <f t="shared" si="32"/>
        <v/>
      </c>
      <c r="BM85" s="95" t="str">
        <f t="shared" si="33"/>
        <v/>
      </c>
      <c r="BN85" s="95" t="str">
        <f t="shared" si="34"/>
        <v/>
      </c>
      <c r="BO85" s="95" t="str">
        <f t="shared" si="35"/>
        <v/>
      </c>
      <c r="BP85" s="95" t="str">
        <f t="shared" si="36"/>
        <v/>
      </c>
      <c r="BQ85" s="95" t="str">
        <f t="shared" si="37"/>
        <v/>
      </c>
      <c r="BR85" s="95" t="str">
        <f t="shared" si="38"/>
        <v/>
      </c>
      <c r="BS85" s="95" t="str">
        <f t="shared" si="39"/>
        <v/>
      </c>
      <c r="BT85" s="95" t="str">
        <f t="shared" si="40"/>
        <v/>
      </c>
      <c r="BU85" s="94" t="str">
        <f t="shared" si="41"/>
        <v/>
      </c>
      <c r="BV85" s="184" t="str">
        <f t="shared" si="49"/>
        <v/>
      </c>
      <c r="BW85" s="95" t="s">
        <v>171</v>
      </c>
      <c r="BX85" s="95">
        <f>BS66</f>
        <v>0</v>
      </c>
    </row>
    <row r="86" spans="1:76" s="25" customFormat="1" ht="15.6" x14ac:dyDescent="0.3">
      <c r="A86" s="89"/>
      <c r="B86" s="264">
        <v>19</v>
      </c>
      <c r="C86" s="119" t="str">
        <f t="shared" si="11"/>
        <v/>
      </c>
      <c r="D86" s="208" t="str">
        <f t="shared" si="42"/>
        <v/>
      </c>
      <c r="E86" s="166" t="str">
        <f t="shared" si="12"/>
        <v/>
      </c>
      <c r="F86" s="826"/>
      <c r="G86" s="827"/>
      <c r="H86" s="163" t="str">
        <f t="shared" si="13"/>
        <v/>
      </c>
      <c r="I86" s="321" t="str">
        <f t="shared" si="43"/>
        <v/>
      </c>
      <c r="J86" s="808" t="str">
        <f>IFERROR(IF(F86="","",VLOOKUP(F86,'10. Condition and Temporal'!$B$6:$F$103,5,FALSE)), "Error ▲")</f>
        <v/>
      </c>
      <c r="K86" s="809"/>
      <c r="L86" s="283" t="str">
        <f t="shared" si="44"/>
        <v/>
      </c>
      <c r="M86" s="697" t="str">
        <f t="shared" si="45"/>
        <v/>
      </c>
      <c r="N86" s="698"/>
      <c r="O86" s="74"/>
      <c r="P86" s="12"/>
      <c r="R86" s="741"/>
      <c r="T86" s="177" t="str">
        <f t="shared" si="14"/>
        <v/>
      </c>
      <c r="U86" s="114" t="str">
        <f t="shared" si="46"/>
        <v/>
      </c>
      <c r="V86" s="94" t="str">
        <f t="shared" si="15"/>
        <v/>
      </c>
      <c r="W86" s="93" t="str">
        <f t="shared" si="15"/>
        <v/>
      </c>
      <c r="X86" s="94" t="str">
        <f t="shared" si="15"/>
        <v/>
      </c>
      <c r="Y86" s="372"/>
      <c r="Z86" s="343"/>
      <c r="AA86" s="507"/>
      <c r="AB86" s="93" t="str">
        <f t="shared" si="16"/>
        <v/>
      </c>
      <c r="AC86" s="115" t="str">
        <f t="shared" si="17"/>
        <v/>
      </c>
      <c r="AD86" s="177" t="str">
        <f t="shared" si="50"/>
        <v/>
      </c>
      <c r="AE86" s="177" t="str">
        <f t="shared" si="47"/>
        <v/>
      </c>
      <c r="AF86" s="511" t="str">
        <f t="shared" si="18"/>
        <v/>
      </c>
      <c r="AG86" s="114" t="str">
        <f>IF(D86="","",VLOOKUP(F86,'9. All Habitats + Multipliers'!$C$4:$K$102,5,FALSE))</f>
        <v/>
      </c>
      <c r="AH86" s="344" t="str">
        <f>IF(AG86="","",VLOOKUP(AG86,'11. Lists'!$B$47:$D$49,2,FALSE))</f>
        <v/>
      </c>
      <c r="AI86" s="93" t="str">
        <f t="shared" si="19"/>
        <v/>
      </c>
      <c r="AJ86" s="94" t="str">
        <f>IF(AI86="","",VLOOKUP(AI86,'11. Lists'!$F$47:$G$51,2,FALSE))</f>
        <v/>
      </c>
      <c r="AK86" s="372"/>
      <c r="AL86" s="343"/>
      <c r="AM86" s="507"/>
      <c r="AN86" s="93" t="str">
        <f t="shared" si="20"/>
        <v/>
      </c>
      <c r="AO86" s="95" t="str">
        <f>IF(AN86="","",VLOOKUP(AN86,'11. Lists'!$F$36:$H$38,2,FALSE))</f>
        <v/>
      </c>
      <c r="AP86" s="94" t="str">
        <f>IF(AN86="","",VLOOKUP(AN86,'11. Lists'!$F$36:$H$38,3,FALSE))</f>
        <v/>
      </c>
      <c r="AQ86" s="114" t="str">
        <f>IF(D86="","",IF(AX86="Distinctiveness","N/A",VLOOKUP(F86,'10. Condition and Temporal'!$B$6:$L$103,11,FALSE)))</f>
        <v/>
      </c>
      <c r="AR86" s="118" t="str">
        <f>IF(AQ86="","",IF(AQ86="N/A","1",VLOOKUP(AQ86,'11. Lists'!$I$47:$K$80,3,FALSE)))</f>
        <v/>
      </c>
      <c r="AS86" s="524" t="str">
        <f>IF(D86="","",IF(AX86="Condition","N/A",VLOOKUP(F86,'10. Condition and Temporal'!$B$6:$M$106,12,FALSE)))</f>
        <v/>
      </c>
      <c r="AT86" s="118" t="str">
        <f>IF(AS86="","",IF(AS86="N/A","1",VLOOKUP(AS86,'11. Lists'!$I$47:$K$80,3,FALSE)))</f>
        <v/>
      </c>
      <c r="AU86" s="114" t="str">
        <f>IF(D86="","",VLOOKUP(F86,'9. All Habitats + Multipliers'!$C$4:$K$102,8,FALSE))</f>
        <v/>
      </c>
      <c r="AV86" s="115" t="str">
        <f>IF(AU86="","",VLOOKUP(AU86,'11. Lists'!$J$35:$K$38,2,FALSE))</f>
        <v/>
      </c>
      <c r="AW86" s="177" t="str">
        <f>IF(D86="","",VLOOKUP(D86,'10. Condition and Temporal'!$B$6:$M$103,4,FALSE))</f>
        <v/>
      </c>
      <c r="AX86" s="177" t="str">
        <f t="shared" si="21"/>
        <v/>
      </c>
      <c r="AY86" s="463" t="str">
        <f t="shared" si="48"/>
        <v/>
      </c>
      <c r="BA86" s="93">
        <v>19</v>
      </c>
      <c r="BB86" s="95" t="str">
        <f t="shared" si="22"/>
        <v/>
      </c>
      <c r="BC86" s="95" t="str">
        <f t="shared" si="23"/>
        <v/>
      </c>
      <c r="BD86" s="95" t="str">
        <f t="shared" si="24"/>
        <v/>
      </c>
      <c r="BE86" s="95" t="str">
        <f t="shared" si="25"/>
        <v/>
      </c>
      <c r="BF86" s="95" t="str">
        <f t="shared" si="26"/>
        <v/>
      </c>
      <c r="BG86" s="95" t="str">
        <f t="shared" si="27"/>
        <v/>
      </c>
      <c r="BH86" s="95" t="str">
        <f t="shared" si="28"/>
        <v/>
      </c>
      <c r="BI86" s="95" t="str">
        <f t="shared" si="29"/>
        <v/>
      </c>
      <c r="BJ86" s="95" t="str">
        <f t="shared" si="30"/>
        <v/>
      </c>
      <c r="BK86" s="95" t="str">
        <f t="shared" si="31"/>
        <v/>
      </c>
      <c r="BL86" s="95" t="str">
        <f t="shared" si="32"/>
        <v/>
      </c>
      <c r="BM86" s="95" t="str">
        <f t="shared" si="33"/>
        <v/>
      </c>
      <c r="BN86" s="95" t="str">
        <f t="shared" si="34"/>
        <v/>
      </c>
      <c r="BO86" s="95" t="str">
        <f t="shared" si="35"/>
        <v/>
      </c>
      <c r="BP86" s="95" t="str">
        <f t="shared" si="36"/>
        <v/>
      </c>
      <c r="BQ86" s="95" t="str">
        <f t="shared" si="37"/>
        <v/>
      </c>
      <c r="BR86" s="95" t="str">
        <f t="shared" si="38"/>
        <v/>
      </c>
      <c r="BS86" s="95" t="str">
        <f t="shared" si="39"/>
        <v/>
      </c>
      <c r="BT86" s="95" t="str">
        <f t="shared" si="40"/>
        <v/>
      </c>
      <c r="BU86" s="94" t="str">
        <f t="shared" si="41"/>
        <v/>
      </c>
      <c r="BV86" s="184" t="str">
        <f t="shared" si="49"/>
        <v/>
      </c>
      <c r="BW86" s="95" t="s">
        <v>172</v>
      </c>
      <c r="BX86" s="95">
        <f>BT66</f>
        <v>0</v>
      </c>
    </row>
    <row r="87" spans="1:76" s="25" customFormat="1" ht="16.2" thickBot="1" x14ac:dyDescent="0.35">
      <c r="A87" s="89"/>
      <c r="B87" s="265">
        <v>20</v>
      </c>
      <c r="C87" s="138" t="str">
        <f t="shared" si="11"/>
        <v/>
      </c>
      <c r="D87" s="420" t="str">
        <f t="shared" si="42"/>
        <v/>
      </c>
      <c r="E87" s="167" t="str">
        <f t="shared" si="12"/>
        <v/>
      </c>
      <c r="F87" s="854"/>
      <c r="G87" s="855"/>
      <c r="H87" s="164" t="str">
        <f t="shared" si="13"/>
        <v/>
      </c>
      <c r="I87" s="427" t="str">
        <f t="shared" si="43"/>
        <v/>
      </c>
      <c r="J87" s="840" t="str">
        <f>IFERROR(IF(F87="","",VLOOKUP(F87,'10. Condition and Temporal'!$B$6:$F$103,5,FALSE)), "Error ▲")</f>
        <v/>
      </c>
      <c r="K87" s="841"/>
      <c r="L87" s="422" t="str">
        <f t="shared" si="44"/>
        <v/>
      </c>
      <c r="M87" s="836" t="str">
        <f t="shared" si="45"/>
        <v/>
      </c>
      <c r="N87" s="837"/>
      <c r="O87" s="75"/>
      <c r="P87" s="14"/>
      <c r="R87" s="741"/>
      <c r="T87" s="178" t="str">
        <f t="shared" si="14"/>
        <v/>
      </c>
      <c r="U87" s="503" t="str">
        <f t="shared" si="46"/>
        <v/>
      </c>
      <c r="V87" s="99" t="str">
        <f t="shared" si="15"/>
        <v/>
      </c>
      <c r="W87" s="98" t="str">
        <f t="shared" si="15"/>
        <v/>
      </c>
      <c r="X87" s="99" t="str">
        <f t="shared" si="15"/>
        <v/>
      </c>
      <c r="Y87" s="504"/>
      <c r="Z87" s="347"/>
      <c r="AA87" s="508"/>
      <c r="AB87" s="98" t="str">
        <f t="shared" si="16"/>
        <v/>
      </c>
      <c r="AC87" s="509" t="str">
        <f t="shared" si="17"/>
        <v/>
      </c>
      <c r="AD87" s="178" t="str">
        <f t="shared" si="50"/>
        <v/>
      </c>
      <c r="AE87" s="178" t="str">
        <f t="shared" si="47"/>
        <v/>
      </c>
      <c r="AF87" s="512" t="str">
        <f t="shared" si="18"/>
        <v/>
      </c>
      <c r="AG87" s="503" t="str">
        <f>IF(D87="","",VLOOKUP(F87,'9. All Habitats + Multipliers'!$C$4:$K$102,5,FALSE))</f>
        <v/>
      </c>
      <c r="AH87" s="476" t="str">
        <f>IF(AG87="","",VLOOKUP(AG87,'11. Lists'!$B$47:$D$49,2,FALSE))</f>
        <v/>
      </c>
      <c r="AI87" s="98" t="str">
        <f t="shared" si="19"/>
        <v/>
      </c>
      <c r="AJ87" s="99" t="str">
        <f>IF(AI87="","",VLOOKUP(AI87,'11. Lists'!$F$47:$G$51,2,FALSE))</f>
        <v/>
      </c>
      <c r="AK87" s="372"/>
      <c r="AL87" s="343"/>
      <c r="AM87" s="507"/>
      <c r="AN87" s="98" t="str">
        <f t="shared" si="20"/>
        <v/>
      </c>
      <c r="AO87" s="100" t="str">
        <f>IF(AN87="","",VLOOKUP(AN87,'11. Lists'!$F$36:$H$38,2,FALSE))</f>
        <v/>
      </c>
      <c r="AP87" s="99" t="str">
        <f>IF(AN87="","",VLOOKUP(AN87,'11. Lists'!$F$36:$H$38,3,FALSE))</f>
        <v/>
      </c>
      <c r="AQ87" s="503" t="str">
        <f>IF(D87="","",IF(AX87="Distinctiveness","N/A",VLOOKUP(F87,'10. Condition and Temporal'!$B$6:$L$103,11,FALSE)))</f>
        <v/>
      </c>
      <c r="AR87" s="521" t="str">
        <f>IF(AQ87="","",IF(AQ87="N/A","1",VLOOKUP(AQ87,'11. Lists'!$I$47:$K$80,3,FALSE)))</f>
        <v/>
      </c>
      <c r="AS87" s="525" t="str">
        <f>IF(D87="","",IF(AX87="Condition","N/A",VLOOKUP(F87,'10. Condition and Temporal'!$B$6:$M$106,12,FALSE)))</f>
        <v/>
      </c>
      <c r="AT87" s="521" t="str">
        <f>IF(AS87="","",IF(AS87="N/A","1",VLOOKUP(AS87,'11. Lists'!$I$47:$K$80,3,FALSE)))</f>
        <v/>
      </c>
      <c r="AU87" s="503" t="str">
        <f>IF(D87="","",VLOOKUP(F87,'9. All Habitats + Multipliers'!$C$4:$K$102,8,FALSE))</f>
        <v/>
      </c>
      <c r="AV87" s="509" t="str">
        <f>IF(AU87="","",VLOOKUP(AU87,'11. Lists'!$J$35:$K$38,2,FALSE))</f>
        <v/>
      </c>
      <c r="AW87" s="178" t="str">
        <f>IF(D87="","",VLOOKUP(D87,'10. Condition and Temporal'!$B$6:$M$103,4,FALSE))</f>
        <v/>
      </c>
      <c r="AX87" s="178" t="str">
        <f t="shared" si="21"/>
        <v/>
      </c>
      <c r="AY87" s="464" t="str">
        <f t="shared" si="48"/>
        <v/>
      </c>
      <c r="BA87" s="98">
        <v>20</v>
      </c>
      <c r="BB87" s="100" t="str">
        <f t="shared" si="22"/>
        <v/>
      </c>
      <c r="BC87" s="100" t="str">
        <f t="shared" si="23"/>
        <v/>
      </c>
      <c r="BD87" s="100" t="str">
        <f t="shared" si="24"/>
        <v/>
      </c>
      <c r="BE87" s="100" t="str">
        <f t="shared" si="25"/>
        <v/>
      </c>
      <c r="BF87" s="100" t="str">
        <f t="shared" si="26"/>
        <v/>
      </c>
      <c r="BG87" s="100" t="str">
        <f t="shared" si="27"/>
        <v/>
      </c>
      <c r="BH87" s="100" t="str">
        <f t="shared" si="28"/>
        <v/>
      </c>
      <c r="BI87" s="100" t="str">
        <f t="shared" si="29"/>
        <v/>
      </c>
      <c r="BJ87" s="100" t="str">
        <f t="shared" si="30"/>
        <v/>
      </c>
      <c r="BK87" s="100" t="str">
        <f t="shared" si="31"/>
        <v/>
      </c>
      <c r="BL87" s="100" t="str">
        <f t="shared" si="32"/>
        <v/>
      </c>
      <c r="BM87" s="100" t="str">
        <f t="shared" si="33"/>
        <v/>
      </c>
      <c r="BN87" s="100" t="str">
        <f t="shared" si="34"/>
        <v/>
      </c>
      <c r="BO87" s="100" t="str">
        <f t="shared" si="35"/>
        <v/>
      </c>
      <c r="BP87" s="100" t="str">
        <f t="shared" si="36"/>
        <v/>
      </c>
      <c r="BQ87" s="100" t="str">
        <f t="shared" si="37"/>
        <v/>
      </c>
      <c r="BR87" s="100" t="str">
        <f t="shared" si="38"/>
        <v/>
      </c>
      <c r="BS87" s="100" t="str">
        <f t="shared" si="39"/>
        <v/>
      </c>
      <c r="BT87" s="100" t="str">
        <f t="shared" si="40"/>
        <v/>
      </c>
      <c r="BU87" s="99" t="str">
        <f t="shared" si="41"/>
        <v/>
      </c>
      <c r="BV87" s="184" t="str">
        <f t="shared" si="49"/>
        <v/>
      </c>
      <c r="BW87" s="95" t="s">
        <v>173</v>
      </c>
      <c r="BX87" s="95">
        <f>BU66</f>
        <v>0</v>
      </c>
    </row>
    <row r="88" spans="1:76" s="25" customFormat="1" ht="32.549999999999997" hidden="1" customHeight="1" thickBot="1" x14ac:dyDescent="0.35">
      <c r="A88" s="89"/>
      <c r="B88" s="267" t="s">
        <v>89</v>
      </c>
      <c r="C88" s="97" t="s">
        <v>90</v>
      </c>
      <c r="D88" s="402" t="s">
        <v>91</v>
      </c>
      <c r="E88" s="97" t="str">
        <f t="shared" si="12"/>
        <v>Condition</v>
      </c>
      <c r="F88" s="852" t="s">
        <v>91</v>
      </c>
      <c r="G88" s="853"/>
      <c r="H88" s="403" t="s">
        <v>112</v>
      </c>
      <c r="I88" s="404">
        <v>0</v>
      </c>
      <c r="J88" s="695" t="str">
        <f>IF(F88="","",VLOOKUP(F88,'10. Condition and Temporal'!$B$6:$F$103,5,FALSE))</f>
        <v>Good</v>
      </c>
      <c r="K88" s="696"/>
      <c r="L88" s="405">
        <f t="shared" ref="L88" si="51">IFERROR(IF(D88="","",IF(AX88="Distinctiveness",(((((I88*AH88*AJ88)-(I88*V88*X88))*(AV88*AT88))+(I88*V88*X88))*(AP88))/10000,((((I88*AJ88*AH88)-(I88*V88*X88))*(AV88*AR88))+(I88*V88*X88))*AP88/10000)),"This intervention is not permitted within the SSM ▲")</f>
        <v>0</v>
      </c>
      <c r="M88" s="822">
        <f>L88-AD88</f>
        <v>0</v>
      </c>
      <c r="N88" s="740"/>
      <c r="O88" s="406"/>
      <c r="P88" s="39"/>
      <c r="R88" s="741"/>
      <c r="T88" s="170">
        <f t="shared" si="14"/>
        <v>0</v>
      </c>
      <c r="U88" s="171" t="str">
        <f>IF($D88="","",T31)</f>
        <v>Medium</v>
      </c>
      <c r="V88" s="349">
        <f t="shared" si="15"/>
        <v>4</v>
      </c>
      <c r="W88" s="171" t="str">
        <f t="shared" si="15"/>
        <v>Moderate</v>
      </c>
      <c r="X88" s="173">
        <f t="shared" si="15"/>
        <v>2</v>
      </c>
      <c r="Y88" s="348"/>
      <c r="Z88" s="348"/>
      <c r="AA88" s="348"/>
      <c r="AB88" s="173" t="str">
        <f t="shared" si="16"/>
        <v>Formally identified in local strategy</v>
      </c>
      <c r="AC88" s="173">
        <f t="shared" si="17"/>
        <v>1.1499999999999999</v>
      </c>
      <c r="AD88" s="172">
        <f t="shared" ref="AD88" si="52">IF(AC88="","",(T88*V88*X88)*(AA88*AC88)/10000)</f>
        <v>0</v>
      </c>
      <c r="AE88" s="180" t="str">
        <f>IF(AD88="","",IF(AH88&lt;V88,"Not Acceptable","Acceptable"))</f>
        <v>Acceptable</v>
      </c>
      <c r="AF88" s="170">
        <f t="shared" si="18"/>
        <v>0</v>
      </c>
      <c r="AG88" s="171" t="str">
        <f>IF(D88="","",VLOOKUP(F88,'9. All Habitats + Multipliers'!$C$4:$K$102,5,FALSE))</f>
        <v>Medium</v>
      </c>
      <c r="AH88" s="172">
        <f>IF(AG88="","",VLOOKUP(AG88,'11. Lists'!$B$47:$D$49,2,FALSE))</f>
        <v>4</v>
      </c>
      <c r="AI88" s="514" t="str">
        <f t="shared" si="19"/>
        <v>Good</v>
      </c>
      <c r="AJ88" s="503">
        <f>IF(AI88="","",VLOOKUP(AI88,'11. Lists'!$F$47:$G$51,2,FALSE))</f>
        <v>3</v>
      </c>
      <c r="AK88" s="364"/>
      <c r="AL88" s="364"/>
      <c r="AM88" s="364"/>
      <c r="AN88" s="509" t="str">
        <f t="shared" si="20"/>
        <v>Area/compensation not in local strategy/ no local strategy</v>
      </c>
      <c r="AO88" s="517" t="str">
        <f>IF(AN88="","",VLOOKUP(AN88,'11. Lists'!$F$36:$H$38,2,FALSE))</f>
        <v>Low Strategic Significance</v>
      </c>
      <c r="AP88" s="509">
        <f>IF(AN88="","",VLOOKUP(AN88,'11. Lists'!$F$36:$H$38,3,FALSE))</f>
        <v>1</v>
      </c>
      <c r="AQ88" s="171">
        <f>IF(D88="","",VLOOKUP(F88,'10. Condition and Temporal'!$B$6:$L$103,11,FALSE))</f>
        <v>16</v>
      </c>
      <c r="AR88" s="175">
        <f>IF(AQ88="","",VLOOKUP(AQ88,'11. Lists'!$I$47:$K$80,3,FALSE))</f>
        <v>0.56550573479999999</v>
      </c>
      <c r="AS88" s="522" t="str">
        <f>IF(D88="","",VLOOKUP(F88,'10. Condition and Temporal'!$B$6:$M$106,12,FALSE))</f>
        <v>Not Possible</v>
      </c>
      <c r="AT88" s="118" t="str">
        <f>IF(AS88="","",IF(AS88="N/A","1",VLOOKUP(AS88,'11. Lists'!$I$47:$K$80,3,FALSE)))</f>
        <v>N/A</v>
      </c>
      <c r="AU88" s="174" t="str">
        <f>IF(D88="","",VLOOKUP(F88,'9. All Habitats + Multipliers'!$C$4:$K$102,8,FALSE))</f>
        <v>Low</v>
      </c>
      <c r="AV88" s="172">
        <f>IF(AU88="","",VLOOKUP(AU88,'11. Lists'!$J$35:$K$38,2,FALSE))</f>
        <v>1</v>
      </c>
      <c r="AW88" s="171" t="str">
        <f>IF(D88="","",VLOOKUP(D88,'10. Condition and Temporal'!$B$6:$M$103,4,FALSE))</f>
        <v>Urban/rural tree</v>
      </c>
      <c r="AX88" s="172" t="str">
        <f>IF(F88="","",IF(D88=F88,"Condition","Distinctivness"))</f>
        <v>Condition</v>
      </c>
      <c r="AY88" s="25" t="str">
        <f t="shared" ref="AY88" si="53">C88</f>
        <v>Individual trees</v>
      </c>
    </row>
    <row r="89" spans="1:76" s="25" customFormat="1" ht="15" thickBot="1" x14ac:dyDescent="0.35">
      <c r="H89" s="176" t="s">
        <v>93</v>
      </c>
      <c r="I89" s="318">
        <f>SUMIFS(I68:I87,F68:F87,"&lt;&gt;"&amp;'11. Lists'!Q10,F68:F87,"&lt;&gt;"&amp;'11. Lists'!Q11,F68:F87,"&lt;&gt;"&amp;'11. Lists'!I4,F68:F87,"&lt;&gt;"&amp;'11. Lists'!I2,F68:F87,"&lt;&gt;"&amp;'11. Lists'!I3)</f>
        <v>898.7</v>
      </c>
      <c r="J89" s="218"/>
      <c r="K89" s="216"/>
      <c r="L89" s="284">
        <f>SUM(L68:L88)</f>
        <v>0.78080228300228005</v>
      </c>
      <c r="M89" s="738">
        <f>SUM(M68:N88)</f>
        <v>0.42132228300228003</v>
      </c>
      <c r="N89" s="740"/>
      <c r="R89" s="741"/>
    </row>
    <row r="90" spans="1:76" s="25" customFormat="1" x14ac:dyDescent="0.3">
      <c r="C90" s="26"/>
      <c r="R90" s="741"/>
    </row>
    <row r="91" spans="1:76" s="25" customFormat="1" ht="21" x14ac:dyDescent="0.4">
      <c r="B91" s="57" t="s">
        <v>174</v>
      </c>
      <c r="R91" s="741"/>
    </row>
    <row r="92" spans="1:76" s="25" customFormat="1" ht="15" thickBot="1" x14ac:dyDescent="0.35">
      <c r="D92" s="88"/>
      <c r="R92" s="741"/>
    </row>
    <row r="93" spans="1:76" s="25" customFormat="1" ht="48" customHeight="1" x14ac:dyDescent="0.3">
      <c r="B93" s="654" t="s">
        <v>175</v>
      </c>
      <c r="C93" s="655"/>
      <c r="D93" s="658" t="s">
        <v>176</v>
      </c>
      <c r="E93" s="660" t="s">
        <v>177</v>
      </c>
      <c r="F93" s="661"/>
      <c r="G93" s="660" t="s">
        <v>178</v>
      </c>
      <c r="H93" s="655"/>
      <c r="I93" s="664" t="s">
        <v>179</v>
      </c>
      <c r="J93" s="665"/>
      <c r="K93" s="665"/>
      <c r="L93" s="665"/>
      <c r="M93" s="665"/>
      <c r="N93" s="665"/>
      <c r="O93" s="665"/>
      <c r="P93" s="666"/>
      <c r="R93" s="741"/>
    </row>
    <row r="94" spans="1:76" s="25" customFormat="1" ht="15.6" customHeight="1" thickBot="1" x14ac:dyDescent="0.35">
      <c r="B94" s="656"/>
      <c r="C94" s="657"/>
      <c r="D94" s="659"/>
      <c r="E94" s="662"/>
      <c r="F94" s="663"/>
      <c r="G94" s="662"/>
      <c r="H94" s="657"/>
      <c r="I94" s="667" t="s">
        <v>180</v>
      </c>
      <c r="J94" s="668"/>
      <c r="K94" s="669"/>
      <c r="L94" s="670" t="s">
        <v>181</v>
      </c>
      <c r="M94" s="668"/>
      <c r="N94" s="669"/>
      <c r="O94" s="670" t="s">
        <v>182</v>
      </c>
      <c r="P94" s="679"/>
      <c r="R94" s="741"/>
    </row>
    <row r="95" spans="1:76" s="25" customFormat="1" ht="23.1" customHeight="1" x14ac:dyDescent="0.3">
      <c r="B95" s="814" t="s">
        <v>183</v>
      </c>
      <c r="C95" s="815"/>
      <c r="D95" s="155"/>
      <c r="E95" s="838"/>
      <c r="F95" s="839"/>
      <c r="G95" s="680"/>
      <c r="H95" s="681"/>
      <c r="I95" s="835">
        <f>D95*'11. Lists'!P47</f>
        <v>0</v>
      </c>
      <c r="J95" s="830"/>
      <c r="K95" s="831"/>
      <c r="L95" s="829">
        <f>IF(E95&gt;D95, "Error ▲", E95*'11. Lists'!P47)</f>
        <v>0</v>
      </c>
      <c r="M95" s="830"/>
      <c r="N95" s="831"/>
      <c r="O95" s="829">
        <f>G95*'11. Lists'!P47</f>
        <v>0</v>
      </c>
      <c r="P95" s="845"/>
      <c r="R95" s="741"/>
    </row>
    <row r="96" spans="1:76" s="25" customFormat="1" ht="24.6" customHeight="1" x14ac:dyDescent="0.3">
      <c r="B96" s="671" t="s">
        <v>184</v>
      </c>
      <c r="C96" s="672"/>
      <c r="D96" s="213"/>
      <c r="E96" s="673"/>
      <c r="F96" s="674"/>
      <c r="G96" s="682"/>
      <c r="H96" s="683"/>
      <c r="I96" s="675">
        <f>D96*'11. Lists'!P48</f>
        <v>0</v>
      </c>
      <c r="J96" s="676"/>
      <c r="K96" s="677"/>
      <c r="L96" s="678">
        <f>IF(E96&gt;D96,"Error ▲",(E96*'11. Lists'!P48))</f>
        <v>0</v>
      </c>
      <c r="M96" s="676"/>
      <c r="N96" s="677"/>
      <c r="O96" s="678">
        <f>G96*'11. Lists'!P48</f>
        <v>0</v>
      </c>
      <c r="P96" s="846"/>
      <c r="R96" s="741"/>
    </row>
    <row r="97" spans="1:18" s="25" customFormat="1" ht="24.6" customHeight="1" x14ac:dyDescent="0.3">
      <c r="B97" s="671" t="s">
        <v>185</v>
      </c>
      <c r="C97" s="672"/>
      <c r="D97" s="213"/>
      <c r="E97" s="673"/>
      <c r="F97" s="674"/>
      <c r="G97" s="682"/>
      <c r="H97" s="683"/>
      <c r="I97" s="675">
        <f>D97*'11. Lists'!P49</f>
        <v>0</v>
      </c>
      <c r="J97" s="676"/>
      <c r="K97" s="677"/>
      <c r="L97" s="678">
        <f>IF(E97&gt;D97,"Error ▲",(E97*'11. Lists'!P49))</f>
        <v>0</v>
      </c>
      <c r="M97" s="676"/>
      <c r="N97" s="677"/>
      <c r="O97" s="678">
        <f>G97*'11. Lists'!P49</f>
        <v>0</v>
      </c>
      <c r="P97" s="846"/>
      <c r="R97" s="741"/>
    </row>
    <row r="98" spans="1:18" s="25" customFormat="1" ht="24.6" customHeight="1" x14ac:dyDescent="0.3">
      <c r="B98" s="671" t="s">
        <v>186</v>
      </c>
      <c r="C98" s="672"/>
      <c r="D98" s="213"/>
      <c r="E98" s="673"/>
      <c r="F98" s="674"/>
      <c r="G98" s="682"/>
      <c r="H98" s="683"/>
      <c r="I98" s="675">
        <f>D98*'11. Lists'!P50</f>
        <v>0</v>
      </c>
      <c r="J98" s="676"/>
      <c r="K98" s="677"/>
      <c r="L98" s="678">
        <f>IF(E98&gt;D98,"Error ▲",(E98*'11. Lists'!P50))</f>
        <v>0</v>
      </c>
      <c r="M98" s="676"/>
      <c r="N98" s="677"/>
      <c r="O98" s="678">
        <f>G98*'11. Lists'!P50</f>
        <v>0</v>
      </c>
      <c r="P98" s="846"/>
      <c r="R98" s="741"/>
    </row>
    <row r="99" spans="1:18" s="25" customFormat="1" ht="24.6" customHeight="1" thickBot="1" x14ac:dyDescent="0.35">
      <c r="B99" s="647" t="s">
        <v>187</v>
      </c>
      <c r="C99" s="813"/>
      <c r="D99" s="285">
        <f>SUM(D95:D98)</f>
        <v>0</v>
      </c>
      <c r="E99" s="816">
        <f>SUM(E95:F98)</f>
        <v>0</v>
      </c>
      <c r="F99" s="817"/>
      <c r="G99" s="816">
        <f>SUM(G95:H98)</f>
        <v>0</v>
      </c>
      <c r="H99" s="844"/>
      <c r="I99" s="817">
        <f>SUM(I95:K98)</f>
        <v>0</v>
      </c>
      <c r="J99" s="828"/>
      <c r="K99" s="828"/>
      <c r="L99" s="828">
        <f>SUM(L95:N98)</f>
        <v>0</v>
      </c>
      <c r="M99" s="828"/>
      <c r="N99" s="828"/>
      <c r="O99" s="816">
        <f>SUM(O95:P98)</f>
        <v>0</v>
      </c>
      <c r="P99" s="844"/>
      <c r="R99" s="741"/>
    </row>
    <row r="100" spans="1:18" s="25" customFormat="1" ht="19.2" customHeight="1" x14ac:dyDescent="0.3">
      <c r="E100" s="832" t="str">
        <f>IFERROR(IF(OR(E95&gt;D95, E96&gt;D96, E97&gt;D97, E98&gt;D98), "Error - trees retained and lost is greater than number of pre-development trees ▲", ""), "Error  ▲")</f>
        <v/>
      </c>
      <c r="F100" s="832"/>
      <c r="G100" s="832"/>
      <c r="R100" s="741"/>
    </row>
    <row r="101" spans="1:18" s="25" customFormat="1" x14ac:dyDescent="0.3">
      <c r="R101" s="741"/>
    </row>
    <row r="102" spans="1:18" s="25" customFormat="1" x14ac:dyDescent="0.3">
      <c r="A102" s="807" t="s">
        <v>188</v>
      </c>
      <c r="B102" s="807"/>
      <c r="C102" s="807"/>
      <c r="D102" s="807"/>
      <c r="E102" s="807"/>
      <c r="F102" s="807"/>
      <c r="G102" s="807"/>
      <c r="H102" s="807"/>
      <c r="I102" s="807"/>
      <c r="J102" s="807"/>
      <c r="K102" s="807"/>
      <c r="L102" s="807"/>
      <c r="M102" s="807"/>
      <c r="N102" s="807"/>
      <c r="O102" s="807"/>
      <c r="P102" s="807"/>
      <c r="Q102" s="807"/>
      <c r="R102" s="741"/>
    </row>
    <row r="103" spans="1:18" s="25" customFormat="1" x14ac:dyDescent="0.3">
      <c r="A103" s="807"/>
      <c r="B103" s="807"/>
      <c r="C103" s="807"/>
      <c r="D103" s="807"/>
      <c r="E103" s="807"/>
      <c r="F103" s="807"/>
      <c r="G103" s="807"/>
      <c r="H103" s="807"/>
      <c r="I103" s="807"/>
      <c r="J103" s="807"/>
      <c r="K103" s="807"/>
      <c r="L103" s="807"/>
      <c r="M103" s="807"/>
      <c r="N103" s="807"/>
      <c r="O103" s="807"/>
      <c r="P103" s="807"/>
      <c r="Q103" s="807"/>
      <c r="R103" s="741"/>
    </row>
    <row r="104" spans="1:18" s="25" customFormat="1" x14ac:dyDescent="0.3">
      <c r="A104" s="807"/>
      <c r="B104" s="807"/>
      <c r="C104" s="807"/>
      <c r="D104" s="807"/>
      <c r="E104" s="807"/>
      <c r="F104" s="807"/>
      <c r="G104" s="807"/>
      <c r="H104" s="807"/>
      <c r="I104" s="807"/>
      <c r="J104" s="807"/>
      <c r="K104" s="807"/>
      <c r="L104" s="807"/>
      <c r="M104" s="807"/>
      <c r="N104" s="807"/>
      <c r="O104" s="807"/>
      <c r="P104" s="807"/>
      <c r="Q104" s="807"/>
      <c r="R104" s="741"/>
    </row>
    <row r="105" spans="1:18" s="25" customFormat="1" x14ac:dyDescent="0.3">
      <c r="R105" s="741"/>
    </row>
    <row r="106" spans="1:18" s="25" customFormat="1" ht="21" x14ac:dyDescent="0.4">
      <c r="B106" s="57" t="s">
        <v>189</v>
      </c>
      <c r="D106" s="26"/>
      <c r="E106" s="26"/>
      <c r="F106" s="26"/>
      <c r="G106" s="26"/>
      <c r="R106" s="741"/>
    </row>
    <row r="107" spans="1:18" s="25" customFormat="1" ht="15" thickBot="1" x14ac:dyDescent="0.35">
      <c r="R107" s="741"/>
    </row>
    <row r="108" spans="1:18" s="25" customFormat="1" ht="36.6" customHeight="1" x14ac:dyDescent="0.3">
      <c r="B108" s="761" t="s">
        <v>190</v>
      </c>
      <c r="C108" s="762"/>
      <c r="D108" s="763"/>
      <c r="E108" s="805" t="str">
        <f>IF(SUM(J114:J135)&gt;0,"Error - Trading Rules Not Satisfied - Insufficient Units Created Within Habitat Groups ▲", "Trading Rules Satisfied ✓")</f>
        <v>Trading Rules Satisfied ✓</v>
      </c>
      <c r="F108" s="805"/>
      <c r="G108" s="805"/>
      <c r="H108" s="805"/>
      <c r="I108" s="806"/>
      <c r="J108" s="157">
        <f>IFERROR(FIND("Error",E108),0)</f>
        <v>0</v>
      </c>
      <c r="R108" s="741"/>
    </row>
    <row r="109" spans="1:18" s="25" customFormat="1" ht="36" customHeight="1" thickBot="1" x14ac:dyDescent="0.35">
      <c r="B109" s="810" t="s">
        <v>191</v>
      </c>
      <c r="C109" s="811"/>
      <c r="D109" s="812"/>
      <c r="E109" s="803" t="str">
        <f>IF(SUM(J138:J140)&gt;0,"Error - Trading Rules Not Satisfied - Insufficient Biodiversity Units Created ▲","Trading Rules Satisfied ✓")</f>
        <v>Trading Rules Satisfied ✓</v>
      </c>
      <c r="F109" s="803"/>
      <c r="G109" s="803"/>
      <c r="H109" s="803"/>
      <c r="I109" s="804"/>
      <c r="J109" s="157">
        <f>IFERROR(FIND("Error",E109),0)</f>
        <v>0</v>
      </c>
      <c r="R109" s="741"/>
    </row>
    <row r="110" spans="1:18" s="25" customFormat="1" x14ac:dyDescent="0.3">
      <c r="R110" s="741"/>
    </row>
    <row r="111" spans="1:18" s="25" customFormat="1" ht="21" x14ac:dyDescent="0.4">
      <c r="B111" s="57" t="s">
        <v>192</v>
      </c>
      <c r="R111" s="741"/>
    </row>
    <row r="112" spans="1:18" s="25" customFormat="1" ht="15" thickBot="1" x14ac:dyDescent="0.35">
      <c r="R112" s="741"/>
    </row>
    <row r="113" spans="2:18" s="25" customFormat="1" ht="36.6" customHeight="1" x14ac:dyDescent="0.3">
      <c r="B113" s="742" t="s">
        <v>193</v>
      </c>
      <c r="C113" s="743"/>
      <c r="D113" s="743"/>
      <c r="E113" s="212" t="s">
        <v>194</v>
      </c>
      <c r="F113" s="212" t="s">
        <v>195</v>
      </c>
      <c r="G113" s="212" t="s">
        <v>196</v>
      </c>
      <c r="H113" s="212" t="s">
        <v>197</v>
      </c>
      <c r="I113" s="120" t="s">
        <v>198</v>
      </c>
      <c r="J113" s="430"/>
      <c r="R113" s="741"/>
    </row>
    <row r="114" spans="2:18" s="25" customFormat="1" ht="15.6" customHeight="1" x14ac:dyDescent="0.3">
      <c r="B114" s="744" t="s">
        <v>199</v>
      </c>
      <c r="C114" s="745"/>
      <c r="D114" s="746"/>
      <c r="E114" s="121" t="s">
        <v>200</v>
      </c>
      <c r="F114" s="122">
        <f>SUMIFS($L$11:$L$30,$C$11:$C$30,$B114,$T$11:$T$30,$E114)</f>
        <v>0</v>
      </c>
      <c r="G114" s="122">
        <f>SUMIFS($L$40:$L$59,$C$40:$C$59,$B114,$T$40:$T$59,$E114)+SUMIFS($L$68:$L$87,AY68:AY87,B114,$AG$68:$AG$87,E114)+SUMIFS($AE$11:$AE$31,$C$11:$C$31,B114,$T$11:$T$31,E114)</f>
        <v>0</v>
      </c>
      <c r="H114" s="122">
        <f>G114-F114</f>
        <v>0</v>
      </c>
      <c r="I114" s="123" t="s">
        <v>201</v>
      </c>
      <c r="J114" s="157"/>
      <c r="R114" s="741"/>
    </row>
    <row r="115" spans="2:18" s="25" customFormat="1" ht="15.6" customHeight="1" x14ac:dyDescent="0.3">
      <c r="B115" s="747"/>
      <c r="C115" s="748"/>
      <c r="D115" s="749"/>
      <c r="E115" s="124" t="s">
        <v>202</v>
      </c>
      <c r="F115" s="122">
        <f>SUMIFS($L$11:$L$30,$C$11:$C$30,$B114,$T$11:$T$30,$E115)</f>
        <v>0</v>
      </c>
      <c r="G115" s="122">
        <f>SUMIFS($L$40:$L$59,$C$40:$C$59,$B114,$T$40:$T$59,$E115)+SUMIFS($L$68:$L$87,AY68:AY87,B114,$AG$68:$AG$87,E115)+SUMIFS($AE$11:$AE$31,$C$11:$C$31,B114,$T$11:$T$31,E115)</f>
        <v>0</v>
      </c>
      <c r="H115" s="122">
        <f>G115-F115</f>
        <v>0</v>
      </c>
      <c r="I115" s="125" t="str">
        <f>IF(F115=0,"N/A",IF(H115&lt;0,"No ▲","Yes ✓"))</f>
        <v>N/A</v>
      </c>
      <c r="J115" s="157">
        <f>IF(I115="No ▲",1,0)</f>
        <v>0</v>
      </c>
      <c r="R115" s="741"/>
    </row>
    <row r="116" spans="2:18" s="25" customFormat="1" ht="15.6" customHeight="1" x14ac:dyDescent="0.3">
      <c r="B116" s="744" t="s">
        <v>203</v>
      </c>
      <c r="C116" s="745"/>
      <c r="D116" s="746"/>
      <c r="E116" s="121" t="s">
        <v>200</v>
      </c>
      <c r="F116" s="122">
        <f>SUMIFS($L$11:$L$30,$C$11:$C$30,$B116,$T$11:$T$30,$E116)</f>
        <v>0.77195999999999998</v>
      </c>
      <c r="G116" s="122">
        <f>SUMIFS($L$40:$L$59,$C$40:$C$59,$B116,$T$40:$T$59,$E116)+SUMIFS($L$68:$L$87,AY68:AY87,B116,$AG$68:$AG$87,E116)+SUMIFS($AE$11:$AE$31,$C$11:$C$31,B116,$T$11:$T$31,E116)</f>
        <v>0.21328000000000003</v>
      </c>
      <c r="H116" s="122">
        <f>G116-F116</f>
        <v>-0.55867999999999995</v>
      </c>
      <c r="I116" s="123" t="s">
        <v>201</v>
      </c>
      <c r="J116" s="157"/>
      <c r="R116" s="741"/>
    </row>
    <row r="117" spans="2:18" s="25" customFormat="1" ht="15.6" customHeight="1" x14ac:dyDescent="0.3">
      <c r="B117" s="747"/>
      <c r="C117" s="748"/>
      <c r="D117" s="749"/>
      <c r="E117" s="124" t="s">
        <v>202</v>
      </c>
      <c r="F117" s="122">
        <f>SUMIFS($L$11:$L$30,$C$11:$C$30,$B116,$T$11:$T$30,$E117)</f>
        <v>0</v>
      </c>
      <c r="G117" s="122">
        <f>SUMIFS($L$40:$L$59,$C$40:$C$59,$B116,$T$40:$T$59,$E117)+SUMIFS($L$68:$L$87,AY68:AY87,B116,$AG$68:$AG$87,E117)+SUMIFS($AE$11:$AE$31,$C$11:$C$31,B116,$T$11:$T$31,E117)</f>
        <v>0.78080228300228005</v>
      </c>
      <c r="H117" s="122">
        <f t="shared" ref="H117:H131" si="54">G117-F117</f>
        <v>0.78080228300228005</v>
      </c>
      <c r="I117" s="125" t="str">
        <f>IF(F117=0,"N/A",IF(H117&lt;0,"No ▲","Yes ✓"))</f>
        <v>N/A</v>
      </c>
      <c r="J117" s="157">
        <f>IF(I117="No ▲",1,0)</f>
        <v>0</v>
      </c>
      <c r="R117" s="741"/>
    </row>
    <row r="118" spans="2:18" s="25" customFormat="1" ht="15.6" customHeight="1" x14ac:dyDescent="0.3">
      <c r="B118" s="744" t="s">
        <v>204</v>
      </c>
      <c r="C118" s="745"/>
      <c r="D118" s="746"/>
      <c r="E118" s="121" t="s">
        <v>200</v>
      </c>
      <c r="F118" s="122">
        <f>SUMIFS($L$11:$L$30,$C$11:$C$30,$B118,$T$11:$T$30,$E118)</f>
        <v>0</v>
      </c>
      <c r="G118" s="122">
        <f>SUMIFS($L$40:$L$59,$C$40:$C$59,$B118,$T$40:$T$59,$E118)+SUMIFS($L$68:$L$87,$C$68:$C$87,B118,$AG$68:$AG$87,E118)+SUMIFS($AE$11:$AE$31,$C$11:$C$31,B118,$T$11:$T$31,E118)</f>
        <v>0</v>
      </c>
      <c r="H118" s="122">
        <f t="shared" si="54"/>
        <v>0</v>
      </c>
      <c r="I118" s="123" t="s">
        <v>201</v>
      </c>
      <c r="J118" s="157"/>
      <c r="R118" s="741"/>
    </row>
    <row r="119" spans="2:18" s="25" customFormat="1" ht="15.6" customHeight="1" x14ac:dyDescent="0.3">
      <c r="B119" s="747"/>
      <c r="C119" s="748"/>
      <c r="D119" s="749"/>
      <c r="E119" s="124" t="s">
        <v>202</v>
      </c>
      <c r="F119" s="122">
        <f>SUMIFS($L$11:$L$30,$C$11:$C$30,$B118,$T$11:$T$30,$E119)</f>
        <v>0</v>
      </c>
      <c r="G119" s="122">
        <f>SUMIFS($L$40:$L$59,$C$40:$C$59,$B118,$T$40:$T$59,$E119)+SUMIFS($L$68:$L$87,$C$68:$C$87,B118,$AG$68:$AG$87,E119)+SUMIFS($AE$11:$AE$31,$C$11:$C$31,B118,$T$11:$T$31,E119)</f>
        <v>0</v>
      </c>
      <c r="H119" s="122">
        <f t="shared" si="54"/>
        <v>0</v>
      </c>
      <c r="I119" s="125" t="str">
        <f>IF(F119=0,"N/A",IF(H119&lt;0,"No ▲","Yes ✓"))</f>
        <v>N/A</v>
      </c>
      <c r="J119" s="157">
        <f>IF(I119="No ▲",1,0)</f>
        <v>0</v>
      </c>
      <c r="R119" s="741"/>
    </row>
    <row r="120" spans="2:18" s="25" customFormat="1" ht="15.6" customHeight="1" x14ac:dyDescent="0.3">
      <c r="B120" s="744" t="s">
        <v>205</v>
      </c>
      <c r="C120" s="745"/>
      <c r="D120" s="746"/>
      <c r="E120" s="121" t="s">
        <v>200</v>
      </c>
      <c r="F120" s="122">
        <f>SUMIFS($L$11:$L$30,$C$11:$C$30,$B120,$T$11:$T$30,$E120)</f>
        <v>0</v>
      </c>
      <c r="G120" s="122">
        <f>SUMIFS($L$40:$L$59,$C$40:$C$59,$B120,$T$40:$T$59,$E120)+SUMIFS($L$68:$L$87,$C$68:$C$87,B120,$AG$68:$AG$87,E120)+SUMIFS($AE$11:$AE$31,$C$11:$C$31,B120,$T$11:$T$31,E120)</f>
        <v>0</v>
      </c>
      <c r="H120" s="122">
        <f>G120-F120</f>
        <v>0</v>
      </c>
      <c r="I120" s="123" t="s">
        <v>201</v>
      </c>
      <c r="J120" s="157"/>
      <c r="R120" s="741"/>
    </row>
    <row r="121" spans="2:18" s="25" customFormat="1" ht="15.6" customHeight="1" x14ac:dyDescent="0.3">
      <c r="B121" s="747"/>
      <c r="C121" s="748"/>
      <c r="D121" s="749"/>
      <c r="E121" s="124" t="s">
        <v>202</v>
      </c>
      <c r="F121" s="122">
        <f>SUMIFS($L$11:$L$30,$C$11:$C$30,$B120,$T$11:$T$30,$E121)</f>
        <v>0</v>
      </c>
      <c r="G121" s="122">
        <f>SUMIFS($L$40:$L$59,$C$40:$C$59,$B120,$T$40:$T$59,$E121)+SUMIFS($L$68:$L$87,$C$68:$C$87,B120,$AG$68:$AG$87,E121)+SUMIFS($AE$11:$AE$31,$C$11:$C$31,B120,$T$11:$T$31,E121)</f>
        <v>0</v>
      </c>
      <c r="H121" s="122">
        <f t="shared" si="54"/>
        <v>0</v>
      </c>
      <c r="I121" s="125" t="str">
        <f>IF(F121=0,"N/A",IF(H121&lt;0,"No ▲","Yes ✓"))</f>
        <v>N/A</v>
      </c>
      <c r="J121" s="157">
        <f>IF(I121="No ▲",1,0)</f>
        <v>0</v>
      </c>
      <c r="R121" s="741"/>
    </row>
    <row r="122" spans="2:18" s="25" customFormat="1" ht="15.6" customHeight="1" x14ac:dyDescent="0.3">
      <c r="B122" s="744" t="s">
        <v>206</v>
      </c>
      <c r="C122" s="745"/>
      <c r="D122" s="746"/>
      <c r="E122" s="121" t="s">
        <v>200</v>
      </c>
      <c r="F122" s="122">
        <f>SUMIFS($L$11:$L$30,$C$11:$C$30,$B122,$T$11:$T$30,$E122)</f>
        <v>0</v>
      </c>
      <c r="G122" s="122">
        <f>SUMIFS($L$40:$L$59,$C$40:$C$59,$B122,$T$40:$T$59,$E122)+SUMIFS($L$68:$L$87,$C$68:$C$87,B122,$AG$68:$AG$87,E122)+SUMIFS($AE$11:$AE$31,$C$11:$C$31,B122,$T$11:$T$31,E122)</f>
        <v>0</v>
      </c>
      <c r="H122" s="122">
        <f t="shared" si="54"/>
        <v>0</v>
      </c>
      <c r="I122" s="123" t="s">
        <v>201</v>
      </c>
      <c r="J122" s="157"/>
      <c r="R122" s="741"/>
    </row>
    <row r="123" spans="2:18" s="25" customFormat="1" ht="15.6" customHeight="1" x14ac:dyDescent="0.3">
      <c r="B123" s="747"/>
      <c r="C123" s="748"/>
      <c r="D123" s="749"/>
      <c r="E123" s="124" t="s">
        <v>202</v>
      </c>
      <c r="F123" s="122">
        <f>SUMIFS($L$11:$L$30,$C$11:$C$30,$B122,$T$11:$T$30,$E123)</f>
        <v>0</v>
      </c>
      <c r="G123" s="122">
        <f>SUMIFS($L$40:$L$59,$C$40:$C$59,$B$122,$T$40:$T$59,$E$123)+SUMIFS($L$68:$L$87,$C$68:$C$87,$B$122,$AG$68:$AG$87,$E$123)+SUMIFS($AE$11:$AE$31,$C$11:$C$31,$B$122,$T$11:$T$31,$E$123)</f>
        <v>0</v>
      </c>
      <c r="H123" s="122">
        <f t="shared" si="54"/>
        <v>0</v>
      </c>
      <c r="I123" s="125" t="str">
        <f>IF(F123=0,"N/A",IF(H123&lt;0,"No ▲","Yes ✓"))</f>
        <v>N/A</v>
      </c>
      <c r="J123" s="157">
        <f>IF(I123="No ▲",1,0)</f>
        <v>0</v>
      </c>
      <c r="R123" s="741"/>
    </row>
    <row r="124" spans="2:18" s="25" customFormat="1" ht="15.6" customHeight="1" x14ac:dyDescent="0.3">
      <c r="B124" s="744" t="s">
        <v>207</v>
      </c>
      <c r="C124" s="745"/>
      <c r="D124" s="746"/>
      <c r="E124" s="121" t="s">
        <v>200</v>
      </c>
      <c r="F124" s="122">
        <f>SUMIFS($L$11:$L$30,$C$11:$C$30,$B124,$T$11:$T$30,$E124)</f>
        <v>0</v>
      </c>
      <c r="G124" s="122">
        <f>SUMIFS($L$40:$L$59,$C$40:$C$59,$B124,$T$40:$T$59,$E124)+SUMIFS($L$68:$L$87,$C$68:$C$87,B124,$AG$68:$AG$87,E124)+SUMIFS($AE$11:$AE$31,$C$11:$C$31,B124,$T$11:$T$31,E124)</f>
        <v>0</v>
      </c>
      <c r="H124" s="122">
        <f t="shared" si="54"/>
        <v>0</v>
      </c>
      <c r="I124" s="123" t="s">
        <v>201</v>
      </c>
      <c r="J124" s="157"/>
      <c r="R124" s="741"/>
    </row>
    <row r="125" spans="2:18" s="25" customFormat="1" ht="15.6" customHeight="1" x14ac:dyDescent="0.3">
      <c r="B125" s="747"/>
      <c r="C125" s="748"/>
      <c r="D125" s="749"/>
      <c r="E125" s="124" t="s">
        <v>202</v>
      </c>
      <c r="F125" s="122">
        <f>SUMIFS($L$11:$L$30,$C$11:$C$30,$B124,$T$11:$T$30,$E125)</f>
        <v>0</v>
      </c>
      <c r="G125" s="122">
        <f>SUMIFS($L$40:$L$59,$C$40:$C$59,$B$124,$T$40:$T$59,$E125)+SUMIFS($L$68:$L$87,$C$68:$C$87,B124,$AG$68:$AG$87,E125)+SUMIFS($AE$11:$AE$31,$C$11:$C$31,$B$124,$T$11:$T$31,$E$125)</f>
        <v>0</v>
      </c>
      <c r="H125" s="122">
        <f>G125-F125</f>
        <v>0</v>
      </c>
      <c r="I125" s="125" t="str">
        <f>IF(F125=0,"N/A",IF(H125&lt;0,"No ▲","Yes ✓"))</f>
        <v>N/A</v>
      </c>
      <c r="J125" s="157">
        <f>IF(I125="No ▲",1,0)</f>
        <v>0</v>
      </c>
      <c r="R125" s="741"/>
    </row>
    <row r="126" spans="2:18" s="25" customFormat="1" ht="15.6" customHeight="1" x14ac:dyDescent="0.3">
      <c r="B126" s="744" t="s">
        <v>208</v>
      </c>
      <c r="C126" s="745"/>
      <c r="D126" s="746"/>
      <c r="E126" s="121" t="s">
        <v>200</v>
      </c>
      <c r="F126" s="122">
        <f>SUMIFS($L$11:$L$30,$C$11:$C$30,$B126,$T$11:$T$30,$E126)</f>
        <v>0</v>
      </c>
      <c r="G126" s="122">
        <f>SUMIFS($L$40:$L$59,$C$40:$C$59,$B126,$T$40:$T$59,$E126)+SUMIFS($L$68:$L$87,AY68:AY87,B126,$AG$68:$AG$87,E126)+SUMIFS($AE$11:$AE$31,$C$11:$C$31,B126,$T$11:$T$31,E126)</f>
        <v>0</v>
      </c>
      <c r="H126" s="122">
        <f t="shared" si="54"/>
        <v>0</v>
      </c>
      <c r="I126" s="123" t="s">
        <v>201</v>
      </c>
      <c r="J126" s="157"/>
      <c r="R126" s="741"/>
    </row>
    <row r="127" spans="2:18" s="25" customFormat="1" ht="15.6" customHeight="1" x14ac:dyDescent="0.3">
      <c r="B127" s="747"/>
      <c r="C127" s="748"/>
      <c r="D127" s="749"/>
      <c r="E127" s="124" t="s">
        <v>202</v>
      </c>
      <c r="F127" s="122">
        <f>SUMIFS($L$11:$L$30,$C$11:$C$30,$B126,$T$11:$T$30,$E127)</f>
        <v>0</v>
      </c>
      <c r="G127" s="122">
        <f>SUMIFS($L$40:$L$59,$C$40:$C$59,$B126,$T$40:$T$59,$E127)+SUMIFS($L$68:$L$87,AY68:AY87,B126,$AG$68:$AG$87,E127)+SUMIFS($AE$11:$AE$31,$C$11:$C$31,B126,$T$11:$T$31,E127)</f>
        <v>0</v>
      </c>
      <c r="H127" s="122">
        <f t="shared" si="54"/>
        <v>0</v>
      </c>
      <c r="I127" s="125" t="str">
        <f>IF(F127=0,"N/A",IF(H127&lt;0,"No ▲","Yes ✓"))</f>
        <v>N/A</v>
      </c>
      <c r="J127" s="157">
        <f>IF(I127="No ▲",1,0)</f>
        <v>0</v>
      </c>
      <c r="R127" s="741"/>
    </row>
    <row r="128" spans="2:18" s="25" customFormat="1" ht="15.6" customHeight="1" x14ac:dyDescent="0.3">
      <c r="B128" s="744" t="s">
        <v>209</v>
      </c>
      <c r="C128" s="745"/>
      <c r="D128" s="746"/>
      <c r="E128" s="121" t="s">
        <v>200</v>
      </c>
      <c r="F128" s="122">
        <f>SUMIFS($L$11:$L$30,$C$11:$C$30,$B128,$T$11:$T$30,$E128)</f>
        <v>0.5252</v>
      </c>
      <c r="G128" s="122">
        <f>SUMIFS($L$40:$L$59,$C$40:$C$59,$B128,$T$40:$T$59,$E128)+SUMIFS($L$68:$L$87,AY68:AY87,B128,$AG$68:$AG$87,E128)+SUMIFS($AE$11:$AE$31,$C$11:$C$31,B128,$T$11:$T$31,E128)</f>
        <v>0.48280000000000001</v>
      </c>
      <c r="H128" s="122">
        <f t="shared" si="54"/>
        <v>-4.2399999999999993E-2</v>
      </c>
      <c r="I128" s="123" t="s">
        <v>201</v>
      </c>
      <c r="J128" s="157"/>
      <c r="R128" s="741"/>
    </row>
    <row r="129" spans="2:18" s="25" customFormat="1" ht="15.6" customHeight="1" x14ac:dyDescent="0.3">
      <c r="B129" s="747"/>
      <c r="C129" s="748"/>
      <c r="D129" s="749"/>
      <c r="E129" s="124" t="s">
        <v>202</v>
      </c>
      <c r="F129" s="122">
        <f>SUMIFS($L$11:$L$30,$C$11:$C$30,$B128,$T$11:$T$30,$E129)</f>
        <v>0</v>
      </c>
      <c r="G129" s="122">
        <f>SUMIFS($L$40:$L$59,$C$40:$C$59,$B128,$T$40:$T$59,$E129)+SUMIFS($L$68:$L$87,AY68:AY87,B128,$AG$68:$AG$87,E129)+SUMIFS($AE$11:$AE$31,$C$11:$C$31,B128,$T$11:$T$31,E129)</f>
        <v>0</v>
      </c>
      <c r="H129" s="122">
        <f t="shared" si="54"/>
        <v>0</v>
      </c>
      <c r="I129" s="125" t="str">
        <f>IF(F129=0,"N/A",IF(H129&lt;0,"No ▲","Yes ✓"))</f>
        <v>N/A</v>
      </c>
      <c r="J129" s="157">
        <f>IF(I129="No ▲",1,0)</f>
        <v>0</v>
      </c>
      <c r="R129" s="741"/>
    </row>
    <row r="130" spans="2:18" s="25" customFormat="1" ht="15.6" customHeight="1" x14ac:dyDescent="0.3">
      <c r="B130" s="744" t="s">
        <v>210</v>
      </c>
      <c r="C130" s="745"/>
      <c r="D130" s="746"/>
      <c r="E130" s="121" t="s">
        <v>200</v>
      </c>
      <c r="F130" s="122">
        <f>SUMIFS($L$11:$L$30,$C$11:$C$30,$B130,$T$11:$T$30,$E130)</f>
        <v>0</v>
      </c>
      <c r="G130" s="122">
        <f>SUMIFS($L$40:$L$59,$C$40:$C$59,$B130,$T$40:$T$59,$E130)+SUMIFS($L$68:$L$87,$C$68:$C$87,B130,$AG$68:$AG$87,E130)+SUMIFS($AE$11:$AE$31,$C$11:$C$31,B130,$T$11:$T$31,E130)</f>
        <v>0</v>
      </c>
      <c r="H130" s="122">
        <f t="shared" si="54"/>
        <v>0</v>
      </c>
      <c r="I130" s="123" t="s">
        <v>201</v>
      </c>
      <c r="J130" s="157"/>
      <c r="R130" s="741"/>
    </row>
    <row r="131" spans="2:18" s="25" customFormat="1" ht="15.6" customHeight="1" x14ac:dyDescent="0.3">
      <c r="B131" s="747"/>
      <c r="C131" s="748"/>
      <c r="D131" s="749"/>
      <c r="E131" s="124" t="s">
        <v>202</v>
      </c>
      <c r="F131" s="122">
        <f>SUMIFS($L$11:$L$30,$C$11:$C$30,$B130,$T$11:$T$30,$E131)</f>
        <v>0</v>
      </c>
      <c r="G131" s="122">
        <f>SUMIFS($L$40:$L$59,$C$40:$C$59,$B130,$T$40:$T$59,$E131)+SUMIFS($L$68:$L$87,$C$68:$C$87,B130,$AG$68:$AG$87,E131)+SUMIFS($AE$11:$AE$31,$C$11:$C$31,B130,$T$11:$T$31,E131)</f>
        <v>0</v>
      </c>
      <c r="H131" s="122">
        <f t="shared" si="54"/>
        <v>0</v>
      </c>
      <c r="I131" s="125" t="str">
        <f>IF(F131=0,"N/A",IF(H131&lt;0,"No ▲","Yes ✓"))</f>
        <v>N/A</v>
      </c>
      <c r="J131" s="157">
        <f>IF(I131="No ▲",1,0)</f>
        <v>0</v>
      </c>
      <c r="R131" s="741"/>
    </row>
    <row r="132" spans="2:18" s="25" customFormat="1" ht="15.6" customHeight="1" x14ac:dyDescent="0.3">
      <c r="B132" s="744" t="s">
        <v>211</v>
      </c>
      <c r="C132" s="745"/>
      <c r="D132" s="745"/>
      <c r="E132" s="121" t="s">
        <v>200</v>
      </c>
      <c r="F132" s="122">
        <f>SUMIFS($L$11:$L$30,$C$11:$C$30,$B132,$T$11:$T$30,$E132)</f>
        <v>0</v>
      </c>
      <c r="G132" s="122">
        <f>SUMIFS($L$40:$L$59,$C$40:$C$59,$B132,$T$40:$T$59,$E132)+SUMIFS($L$68:$L$87,$C$68:$C$87,B132,$AG$68:$AG$87,E132)+SUMIFS($AE$11:$AE$31,$C$11:$C$31,B132,$T$11:$T$31,E132)</f>
        <v>0</v>
      </c>
      <c r="H132" s="122">
        <f>G132-F132</f>
        <v>0</v>
      </c>
      <c r="I132" s="123" t="s">
        <v>201</v>
      </c>
      <c r="J132" s="157"/>
      <c r="R132" s="741"/>
    </row>
    <row r="133" spans="2:18" s="25" customFormat="1" ht="15.6" customHeight="1" x14ac:dyDescent="0.3">
      <c r="B133" s="759"/>
      <c r="C133" s="760"/>
      <c r="D133" s="760"/>
      <c r="E133" s="375" t="s">
        <v>202</v>
      </c>
      <c r="F133" s="376">
        <f>SUMIFS($L$11:$L$30,$C$11:$C$30,$B132,$T$11:$T$30,$E133)</f>
        <v>0</v>
      </c>
      <c r="G133" s="376">
        <f>SUMIFS($L$40:$L$59,$C$40:$C$59,$B132,$T$40:$T$59,$E133)+SUMIFS($L$68:$L$87,$C$68:$C$87,B132,$AG$68:$AG$87,E133)+SUMIFS($AE$11:$AE$31,$C$11:$C$31,B132,$T$11:$T$31,E133)</f>
        <v>0</v>
      </c>
      <c r="H133" s="376">
        <f>G133-F133</f>
        <v>0</v>
      </c>
      <c r="I133" s="377" t="str">
        <f>IF(F133=0,"N/A",IF(H133&lt;0,"No ▲","Yes ✓"))</f>
        <v>N/A</v>
      </c>
      <c r="J133" s="157">
        <f>IF(I133="No ▲",1,0)</f>
        <v>0</v>
      </c>
      <c r="R133" s="741"/>
    </row>
    <row r="134" spans="2:18" s="25" customFormat="1" ht="15.6" customHeight="1" x14ac:dyDescent="0.3">
      <c r="B134" s="744" t="s">
        <v>90</v>
      </c>
      <c r="C134" s="745"/>
      <c r="D134" s="746"/>
      <c r="E134" s="121" t="s">
        <v>200</v>
      </c>
      <c r="F134" s="122">
        <f>SUMIFS($L$11:$L$31,$C$11:$C$31,$B134,$T$11:$T$31,$E134)</f>
        <v>0</v>
      </c>
      <c r="G134" s="122">
        <f>SUMIFS($L$40:$L$60,$C$40:$C$60,$B134,$T$40:$T$60,$E134)+SUMIFS($L$68:$L$88,$C$68:$C$88,B134,$AG$68:$AG$88,E134)+SUMIFS($AE$11:$AE$31,$C$11:$C$31,B134,$T$11:$T$31,E134)</f>
        <v>0</v>
      </c>
      <c r="H134" s="122">
        <f>G134-F134</f>
        <v>0</v>
      </c>
      <c r="I134" s="123" t="s">
        <v>201</v>
      </c>
      <c r="J134" s="157"/>
      <c r="R134" s="741"/>
    </row>
    <row r="135" spans="2:18" s="25" customFormat="1" ht="23.1" customHeight="1" thickBot="1" x14ac:dyDescent="0.35">
      <c r="B135" s="764"/>
      <c r="C135" s="765"/>
      <c r="D135" s="766"/>
      <c r="E135" s="214" t="s">
        <v>202</v>
      </c>
      <c r="F135" s="215">
        <f>SUMIFS($L$11:$L$31,$C$11:$C$31,$B134,$T$11:$T$31,$E135)</f>
        <v>0</v>
      </c>
      <c r="G135" s="215">
        <f>SUMIFS($L$40:$L$60,$C$40:$C$60,$B134,$T$40:$T$60,$E135)+SUMIFS($L$68:$L$88,$C$68:$C$88,B134,$AG$68:$AG$88,E135)+SUMIFS($AE$11:$AE$31,$C$11:$C$31,B134,$T$11:$T$31,E135)</f>
        <v>0</v>
      </c>
      <c r="H135" s="215">
        <f>G135-F135</f>
        <v>0</v>
      </c>
      <c r="I135" s="502" t="str">
        <f>IF(F135=0,"N/A",IF(H135&lt;0,"No ▲","Yes ✓"))</f>
        <v>N/A</v>
      </c>
      <c r="J135" s="157">
        <f t="shared" ref="J135:J140" si="55">IF(I135="No ▲",1,0)</f>
        <v>0</v>
      </c>
      <c r="R135" s="741"/>
    </row>
    <row r="136" spans="2:18" s="25" customFormat="1" ht="15.6" customHeight="1" thickBot="1" x14ac:dyDescent="0.35">
      <c r="J136" s="157"/>
      <c r="M136" s="26"/>
      <c r="R136" s="741"/>
    </row>
    <row r="137" spans="2:18" s="25" customFormat="1" ht="36" x14ac:dyDescent="0.3">
      <c r="B137" s="761" t="s">
        <v>194</v>
      </c>
      <c r="C137" s="762"/>
      <c r="D137" s="762"/>
      <c r="E137" s="763"/>
      <c r="F137" s="126" t="s">
        <v>195</v>
      </c>
      <c r="G137" s="126" t="s">
        <v>196</v>
      </c>
      <c r="H137" s="126" t="s">
        <v>197</v>
      </c>
      <c r="I137" s="127" t="s">
        <v>198</v>
      </c>
      <c r="J137" s="157"/>
      <c r="M137" s="26"/>
      <c r="R137" s="741"/>
    </row>
    <row r="138" spans="2:18" s="25" customFormat="1" ht="30.6" customHeight="1" x14ac:dyDescent="0.3">
      <c r="B138" s="753" t="s">
        <v>212</v>
      </c>
      <c r="C138" s="754"/>
      <c r="D138" s="754"/>
      <c r="E138" s="755"/>
      <c r="F138" s="122">
        <f>SUMIFS($L$11:$L$31,$T$11:$T$31,"Medium")</f>
        <v>0</v>
      </c>
      <c r="G138" s="156">
        <f>IF(L61+L89+P1=0,0,SUMIFS($L$40:$L$60,$T$40:$T$60,"Medium")+SUMIFS($L$68:$L$87,$AG$68:$AG$87,"Medium")+SUMIFS($AE$11:$AE$31,$T$11:$T$31,"Medium"))</f>
        <v>0.78080228300228005</v>
      </c>
      <c r="H138" s="122">
        <f>IFERROR(G138-F138,"")</f>
        <v>0.78080228300228005</v>
      </c>
      <c r="I138" s="329" t="str">
        <f>IF(G138="","",IF(H138&gt;=0,"Yes ✓","No ▲"))</f>
        <v>Yes ✓</v>
      </c>
      <c r="J138" s="157">
        <f t="shared" si="55"/>
        <v>0</v>
      </c>
      <c r="R138" s="741" t="s">
        <v>52</v>
      </c>
    </row>
    <row r="139" spans="2:18" s="25" customFormat="1" ht="30.6" customHeight="1" x14ac:dyDescent="0.3">
      <c r="B139" s="753" t="s">
        <v>213</v>
      </c>
      <c r="C139" s="754"/>
      <c r="D139" s="754"/>
      <c r="E139" s="755"/>
      <c r="F139" s="122">
        <f>SUMIFS($L$11:$L$31,$T$11:$T$31,"Low")</f>
        <v>1.2971600000000001</v>
      </c>
      <c r="G139" s="156">
        <f>IF(L61+L89+P1=0,0,SUMIFS($L$40:$L$60,$T$40:$T$60,"Low")+SUMIFS($L$68:$L$88,$AG$68:$AG$88,"Low")+SUMIFS($AE$11:$AE$31,$T$11:$T$31,"Low"))</f>
        <v>0.69608000000000003</v>
      </c>
      <c r="H139" s="122">
        <f>IFERROR(G139-F139,"")</f>
        <v>-0.60108000000000006</v>
      </c>
      <c r="I139" s="329" t="str">
        <f>IF($I$142&gt;=0,"Yes ✓","No ▲")</f>
        <v>Yes ✓</v>
      </c>
      <c r="J139" s="157">
        <f t="shared" si="55"/>
        <v>0</v>
      </c>
      <c r="R139" s="741"/>
    </row>
    <row r="140" spans="2:18" s="25" customFormat="1" ht="41.25" customHeight="1" thickBot="1" x14ac:dyDescent="0.35">
      <c r="B140" s="756" t="s">
        <v>214</v>
      </c>
      <c r="C140" s="757"/>
      <c r="D140" s="757"/>
      <c r="E140" s="758"/>
      <c r="F140" s="750">
        <f>IFERROR(H138+H139,"")</f>
        <v>0.17972228300227999</v>
      </c>
      <c r="G140" s="751"/>
      <c r="H140" s="752"/>
      <c r="I140" s="330" t="str">
        <f>IF(F140="","",IF(F140&gt;=0,"Yes ✓","No ▲"))</f>
        <v>Yes ✓</v>
      </c>
      <c r="J140" s="157">
        <f t="shared" si="55"/>
        <v>0</v>
      </c>
      <c r="R140" s="741"/>
    </row>
    <row r="141" spans="2:18" s="25" customFormat="1" x14ac:dyDescent="0.3">
      <c r="R141" s="741"/>
    </row>
    <row r="142" spans="2:18" s="25" customFormat="1" x14ac:dyDescent="0.3">
      <c r="I142" s="434">
        <f>IF($H$138&gt;0,($H$139+$H$138),$H$139)</f>
        <v>0.17972228300227999</v>
      </c>
      <c r="R142" s="741"/>
    </row>
    <row r="143" spans="2:18" s="25" customFormat="1" x14ac:dyDescent="0.3">
      <c r="R143" s="741"/>
    </row>
    <row r="144" spans="2:18" s="25" customFormat="1" x14ac:dyDescent="0.3">
      <c r="R144" s="741"/>
    </row>
    <row r="145" spans="18:18" s="25" customFormat="1" x14ac:dyDescent="0.3">
      <c r="R145" s="741"/>
    </row>
    <row r="146" spans="18:18" s="25" customFormat="1" x14ac:dyDescent="0.3">
      <c r="R146" s="741"/>
    </row>
    <row r="147" spans="18:18" s="25" customFormat="1" x14ac:dyDescent="0.3">
      <c r="R147" s="741"/>
    </row>
    <row r="148" spans="18:18" s="25" customFormat="1" x14ac:dyDescent="0.3">
      <c r="R148" s="741"/>
    </row>
    <row r="149" spans="18:18" s="25" customFormat="1" x14ac:dyDescent="0.3">
      <c r="R149" s="741"/>
    </row>
    <row r="150" spans="18:18" s="25" customFormat="1" x14ac:dyDescent="0.3">
      <c r="R150" s="741"/>
    </row>
    <row r="151" spans="18:18" s="25" customFormat="1" x14ac:dyDescent="0.3">
      <c r="R151" s="741"/>
    </row>
    <row r="152" spans="18:18" s="25" customFormat="1" x14ac:dyDescent="0.3">
      <c r="R152" s="741"/>
    </row>
    <row r="153" spans="18:18" s="25" customFormat="1" x14ac:dyDescent="0.3">
      <c r="R153" s="741"/>
    </row>
    <row r="154" spans="18:18" s="25" customFormat="1" x14ac:dyDescent="0.3">
      <c r="R154" s="741"/>
    </row>
    <row r="155" spans="18:18" s="25" customFormat="1" x14ac:dyDescent="0.3">
      <c r="R155" s="741"/>
    </row>
    <row r="156" spans="18:18" s="25" customFormat="1" x14ac:dyDescent="0.3">
      <c r="R156" s="741"/>
    </row>
    <row r="157" spans="18:18" s="25" customFormat="1" x14ac:dyDescent="0.3">
      <c r="R157" s="741"/>
    </row>
    <row r="158" spans="18:18" s="25" customFormat="1" x14ac:dyDescent="0.3">
      <c r="R158" s="741"/>
    </row>
    <row r="159" spans="18:18" s="25" customFormat="1" x14ac:dyDescent="0.3">
      <c r="R159" s="741"/>
    </row>
    <row r="160" spans="18:18" s="25" customFormat="1" x14ac:dyDescent="0.3">
      <c r="R160" s="741"/>
    </row>
    <row r="161" spans="18:18" s="25" customFormat="1" x14ac:dyDescent="0.3">
      <c r="R161" s="741"/>
    </row>
    <row r="162" spans="18:18" s="25" customFormat="1" x14ac:dyDescent="0.3">
      <c r="R162" s="741"/>
    </row>
    <row r="163" spans="18:18" s="25" customFormat="1" x14ac:dyDescent="0.3">
      <c r="R163" s="741"/>
    </row>
    <row r="164" spans="18:18" s="25" customFormat="1" x14ac:dyDescent="0.3">
      <c r="R164" s="741"/>
    </row>
    <row r="165" spans="18:18" s="25" customFormat="1" x14ac:dyDescent="0.3">
      <c r="R165" s="741"/>
    </row>
    <row r="166" spans="18:18" s="25" customFormat="1" x14ac:dyDescent="0.3">
      <c r="R166" s="741"/>
    </row>
    <row r="167" spans="18:18" s="25" customFormat="1" x14ac:dyDescent="0.3">
      <c r="R167" s="741"/>
    </row>
    <row r="168" spans="18:18" s="25" customFormat="1" x14ac:dyDescent="0.3">
      <c r="R168" s="741"/>
    </row>
    <row r="169" spans="18:18" s="25" customFormat="1" x14ac:dyDescent="0.3">
      <c r="R169" s="741"/>
    </row>
  </sheetData>
  <sheetProtection algorithmName="SHA-512" hashValue="kuRn4VKDK+oEK0ga0WjVHznCbWs6yCPdylWloT2ejbkX5aTbSGyoXkzAkD6GtjUXwI/ptxgLIg5Ga5EivceI0A==" saltValue="8eQNjAJ84SAt2QRmWRdOfw==" spinCount="100000" sheet="1" formatRows="0"/>
  <mergeCells count="332">
    <mergeCell ref="R65:R109"/>
    <mergeCell ref="G99:H99"/>
    <mergeCell ref="O95:P95"/>
    <mergeCell ref="O96:P96"/>
    <mergeCell ref="O97:P97"/>
    <mergeCell ref="O98:P98"/>
    <mergeCell ref="O99:P99"/>
    <mergeCell ref="AR66:AX66"/>
    <mergeCell ref="T56:U56"/>
    <mergeCell ref="T57:U57"/>
    <mergeCell ref="T58:U58"/>
    <mergeCell ref="T59:U59"/>
    <mergeCell ref="T60:U60"/>
    <mergeCell ref="T66:AD66"/>
    <mergeCell ref="AE66:AE67"/>
    <mergeCell ref="AQ66:AQ67"/>
    <mergeCell ref="AF66:AP66"/>
    <mergeCell ref="F82:G82"/>
    <mergeCell ref="F81:G81"/>
    <mergeCell ref="F80:G80"/>
    <mergeCell ref="F88:G88"/>
    <mergeCell ref="F87:G87"/>
    <mergeCell ref="F86:G86"/>
    <mergeCell ref="F85:G85"/>
    <mergeCell ref="F84:G84"/>
    <mergeCell ref="T47:U47"/>
    <mergeCell ref="T48:U48"/>
    <mergeCell ref="T49:U49"/>
    <mergeCell ref="T50:U50"/>
    <mergeCell ref="T51:U51"/>
    <mergeCell ref="T52:U52"/>
    <mergeCell ref="T53:U53"/>
    <mergeCell ref="T54:U54"/>
    <mergeCell ref="T55:U55"/>
    <mergeCell ref="F79:G79"/>
    <mergeCell ref="F78:G78"/>
    <mergeCell ref="F77:G77"/>
    <mergeCell ref="F76:G76"/>
    <mergeCell ref="F75:G75"/>
    <mergeCell ref="F74:G74"/>
    <mergeCell ref="F73:G73"/>
    <mergeCell ref="F72:G72"/>
    <mergeCell ref="F71:G71"/>
    <mergeCell ref="J74:K74"/>
    <mergeCell ref="J75:K75"/>
    <mergeCell ref="J71:K71"/>
    <mergeCell ref="J79:K79"/>
    <mergeCell ref="J77:K77"/>
    <mergeCell ref="T39:U39"/>
    <mergeCell ref="T38:V38"/>
    <mergeCell ref="T40:U40"/>
    <mergeCell ref="T41:U41"/>
    <mergeCell ref="T42:U42"/>
    <mergeCell ref="T43:U43"/>
    <mergeCell ref="T44:U44"/>
    <mergeCell ref="T45:U45"/>
    <mergeCell ref="T46:U46"/>
    <mergeCell ref="T24:U24"/>
    <mergeCell ref="T25:U25"/>
    <mergeCell ref="T26:U26"/>
    <mergeCell ref="T27:U27"/>
    <mergeCell ref="T28:U28"/>
    <mergeCell ref="T29:U29"/>
    <mergeCell ref="T30:U30"/>
    <mergeCell ref="T31:U31"/>
    <mergeCell ref="T9:V9"/>
    <mergeCell ref="T15:U15"/>
    <mergeCell ref="T16:U16"/>
    <mergeCell ref="T17:U17"/>
    <mergeCell ref="T18:U18"/>
    <mergeCell ref="T19:U19"/>
    <mergeCell ref="T20:U20"/>
    <mergeCell ref="T21:U21"/>
    <mergeCell ref="T22:U22"/>
    <mergeCell ref="T23:U23"/>
    <mergeCell ref="E100:G100"/>
    <mergeCell ref="B66:B67"/>
    <mergeCell ref="M82:N82"/>
    <mergeCell ref="M81:N81"/>
    <mergeCell ref="I97:K97"/>
    <mergeCell ref="I96:K96"/>
    <mergeCell ref="I95:K95"/>
    <mergeCell ref="J85:K85"/>
    <mergeCell ref="J86:K86"/>
    <mergeCell ref="J82:K82"/>
    <mergeCell ref="J83:K83"/>
    <mergeCell ref="J84:K84"/>
    <mergeCell ref="M88:N88"/>
    <mergeCell ref="M87:N87"/>
    <mergeCell ref="M86:N86"/>
    <mergeCell ref="M85:N85"/>
    <mergeCell ref="M84:N84"/>
    <mergeCell ref="M83:N83"/>
    <mergeCell ref="M89:N89"/>
    <mergeCell ref="E97:F97"/>
    <mergeCell ref="E96:F96"/>
    <mergeCell ref="E95:F95"/>
    <mergeCell ref="F83:G83"/>
    <mergeCell ref="J87:K87"/>
    <mergeCell ref="J78:K78"/>
    <mergeCell ref="L99:N99"/>
    <mergeCell ref="L97:N97"/>
    <mergeCell ref="L96:N96"/>
    <mergeCell ref="L95:N95"/>
    <mergeCell ref="I99:K99"/>
    <mergeCell ref="J72:K72"/>
    <mergeCell ref="J80:K80"/>
    <mergeCell ref="J81:K81"/>
    <mergeCell ref="J76:K76"/>
    <mergeCell ref="F59:G59"/>
    <mergeCell ref="F58:G58"/>
    <mergeCell ref="L53:N53"/>
    <mergeCell ref="L54:N54"/>
    <mergeCell ref="L55:N55"/>
    <mergeCell ref="L56:N56"/>
    <mergeCell ref="L60:N60"/>
    <mergeCell ref="I62:N62"/>
    <mergeCell ref="J73:K73"/>
    <mergeCell ref="J69:K69"/>
    <mergeCell ref="I53:K53"/>
    <mergeCell ref="F57:G57"/>
    <mergeCell ref="F56:G56"/>
    <mergeCell ref="F55:G55"/>
    <mergeCell ref="F54:G54"/>
    <mergeCell ref="F53:G53"/>
    <mergeCell ref="J68:K68"/>
    <mergeCell ref="F70:G70"/>
    <mergeCell ref="F69:G69"/>
    <mergeCell ref="F68:G68"/>
    <mergeCell ref="F67:G67"/>
    <mergeCell ref="H66:H67"/>
    <mergeCell ref="E66:G66"/>
    <mergeCell ref="I58:K58"/>
    <mergeCell ref="E109:I109"/>
    <mergeCell ref="E108:I108"/>
    <mergeCell ref="A102:Q104"/>
    <mergeCell ref="L46:N46"/>
    <mergeCell ref="L47:N47"/>
    <mergeCell ref="L48:N48"/>
    <mergeCell ref="R35:R64"/>
    <mergeCell ref="L57:N57"/>
    <mergeCell ref="L58:N58"/>
    <mergeCell ref="J70:K70"/>
    <mergeCell ref="B109:D109"/>
    <mergeCell ref="B38:B39"/>
    <mergeCell ref="B99:C99"/>
    <mergeCell ref="C38:D38"/>
    <mergeCell ref="B108:D108"/>
    <mergeCell ref="B97:C97"/>
    <mergeCell ref="B96:C96"/>
    <mergeCell ref="B95:C95"/>
    <mergeCell ref="L41:N41"/>
    <mergeCell ref="L42:N42"/>
    <mergeCell ref="E99:F99"/>
    <mergeCell ref="F60:G60"/>
    <mergeCell ref="O66:P66"/>
    <mergeCell ref="I52:K52"/>
    <mergeCell ref="AG38:AH38"/>
    <mergeCell ref="O38:P38"/>
    <mergeCell ref="I60:K60"/>
    <mergeCell ref="L9:N9"/>
    <mergeCell ref="O9:P9"/>
    <mergeCell ref="I38:K39"/>
    <mergeCell ref="I49:K49"/>
    <mergeCell ref="I50:K50"/>
    <mergeCell ref="L49:N49"/>
    <mergeCell ref="I59:K59"/>
    <mergeCell ref="I57:K57"/>
    <mergeCell ref="L59:N59"/>
    <mergeCell ref="W38:X38"/>
    <mergeCell ref="Y38:AA38"/>
    <mergeCell ref="AB38:AD38"/>
    <mergeCell ref="L44:N44"/>
    <mergeCell ref="L45:N45"/>
    <mergeCell ref="L51:N51"/>
    <mergeCell ref="L50:N50"/>
    <mergeCell ref="I35:N35"/>
    <mergeCell ref="W9:X9"/>
    <mergeCell ref="Y9:AA9"/>
    <mergeCell ref="AB9:AD9"/>
    <mergeCell ref="I9:K9"/>
    <mergeCell ref="AE38:AF38"/>
    <mergeCell ref="F17:H17"/>
    <mergeCell ref="F16:H16"/>
    <mergeCell ref="F15:H15"/>
    <mergeCell ref="F14:H14"/>
    <mergeCell ref="F13:H13"/>
    <mergeCell ref="F12:H12"/>
    <mergeCell ref="F11:H11"/>
    <mergeCell ref="F26:H26"/>
    <mergeCell ref="R1:R32"/>
    <mergeCell ref="L38:N39"/>
    <mergeCell ref="F23:H23"/>
    <mergeCell ref="F2:H6"/>
    <mergeCell ref="F31:H31"/>
    <mergeCell ref="F9:H10"/>
    <mergeCell ref="H38:H39"/>
    <mergeCell ref="J2:M5"/>
    <mergeCell ref="T10:U10"/>
    <mergeCell ref="T11:U11"/>
    <mergeCell ref="T12:U12"/>
    <mergeCell ref="T13:U13"/>
    <mergeCell ref="T14:U14"/>
    <mergeCell ref="I33:N33"/>
    <mergeCell ref="I34:N34"/>
    <mergeCell ref="R110:R137"/>
    <mergeCell ref="R138:R169"/>
    <mergeCell ref="B113:D113"/>
    <mergeCell ref="B114:D115"/>
    <mergeCell ref="B116:D117"/>
    <mergeCell ref="B118:D119"/>
    <mergeCell ref="B120:D121"/>
    <mergeCell ref="B122:D123"/>
    <mergeCell ref="B124:D125"/>
    <mergeCell ref="B126:D127"/>
    <mergeCell ref="B128:D129"/>
    <mergeCell ref="B130:D131"/>
    <mergeCell ref="F140:H140"/>
    <mergeCell ref="B138:E138"/>
    <mergeCell ref="B139:E139"/>
    <mergeCell ref="B140:E140"/>
    <mergeCell ref="B132:D133"/>
    <mergeCell ref="B137:E137"/>
    <mergeCell ref="B134:D135"/>
    <mergeCell ref="I56:K56"/>
    <mergeCell ref="I55:K55"/>
    <mergeCell ref="I66:I67"/>
    <mergeCell ref="J66:K67"/>
    <mergeCell ref="L40:N40"/>
    <mergeCell ref="I61:K61"/>
    <mergeCell ref="L61:N61"/>
    <mergeCell ref="I54:K54"/>
    <mergeCell ref="L52:N52"/>
    <mergeCell ref="L43:N43"/>
    <mergeCell ref="I51:K51"/>
    <mergeCell ref="I43:K43"/>
    <mergeCell ref="I42:K42"/>
    <mergeCell ref="I41:K41"/>
    <mergeCell ref="I40:K40"/>
    <mergeCell ref="I44:K44"/>
    <mergeCell ref="I48:K48"/>
    <mergeCell ref="I47:K47"/>
    <mergeCell ref="I46:K46"/>
    <mergeCell ref="I45:K45"/>
    <mergeCell ref="B9:B10"/>
    <mergeCell ref="F22:H22"/>
    <mergeCell ref="F21:H21"/>
    <mergeCell ref="F20:H20"/>
    <mergeCell ref="F19:H19"/>
    <mergeCell ref="F18:H18"/>
    <mergeCell ref="F52:G52"/>
    <mergeCell ref="D10:E10"/>
    <mergeCell ref="D17:E17"/>
    <mergeCell ref="D16:E16"/>
    <mergeCell ref="D22:E22"/>
    <mergeCell ref="D21:E21"/>
    <mergeCell ref="F51:G51"/>
    <mergeCell ref="F50:G50"/>
    <mergeCell ref="F49:G49"/>
    <mergeCell ref="F48:G48"/>
    <mergeCell ref="F42:G42"/>
    <mergeCell ref="F41:G41"/>
    <mergeCell ref="F40:G40"/>
    <mergeCell ref="F39:G39"/>
    <mergeCell ref="D29:E29"/>
    <mergeCell ref="F47:G47"/>
    <mergeCell ref="F46:G46"/>
    <mergeCell ref="F45:G45"/>
    <mergeCell ref="F44:G44"/>
    <mergeCell ref="F43:G43"/>
    <mergeCell ref="M71:N71"/>
    <mergeCell ref="M70:N70"/>
    <mergeCell ref="M69:N69"/>
    <mergeCell ref="M73:N73"/>
    <mergeCell ref="C2:D2"/>
    <mergeCell ref="C3:D3"/>
    <mergeCell ref="E38:G38"/>
    <mergeCell ref="D31:E31"/>
    <mergeCell ref="F25:H25"/>
    <mergeCell ref="F24:H24"/>
    <mergeCell ref="D30:E30"/>
    <mergeCell ref="D28:E28"/>
    <mergeCell ref="D27:E27"/>
    <mergeCell ref="F30:H30"/>
    <mergeCell ref="F29:H29"/>
    <mergeCell ref="F28:H28"/>
    <mergeCell ref="F27:H27"/>
    <mergeCell ref="D20:E20"/>
    <mergeCell ref="D19:E19"/>
    <mergeCell ref="D18:E18"/>
    <mergeCell ref="C9:E9"/>
    <mergeCell ref="C66:D66"/>
    <mergeCell ref="AE9:AG9"/>
    <mergeCell ref="AI9:AI10"/>
    <mergeCell ref="AH9:AH10"/>
    <mergeCell ref="D15:E15"/>
    <mergeCell ref="D14:E14"/>
    <mergeCell ref="D13:E13"/>
    <mergeCell ref="D12:E12"/>
    <mergeCell ref="D11:E11"/>
    <mergeCell ref="J88:K88"/>
    <mergeCell ref="D26:E26"/>
    <mergeCell ref="D25:E25"/>
    <mergeCell ref="D24:E24"/>
    <mergeCell ref="D23:E23"/>
    <mergeCell ref="M68:N68"/>
    <mergeCell ref="L66:L67"/>
    <mergeCell ref="M66:N67"/>
    <mergeCell ref="M80:N80"/>
    <mergeCell ref="M79:N79"/>
    <mergeCell ref="M78:N78"/>
    <mergeCell ref="M77:N77"/>
    <mergeCell ref="M76:N76"/>
    <mergeCell ref="M75:N75"/>
    <mergeCell ref="M74:N74"/>
    <mergeCell ref="M72:N72"/>
    <mergeCell ref="B93:C94"/>
    <mergeCell ref="D93:D94"/>
    <mergeCell ref="E93:F94"/>
    <mergeCell ref="I93:P93"/>
    <mergeCell ref="I94:K94"/>
    <mergeCell ref="L94:N94"/>
    <mergeCell ref="B98:C98"/>
    <mergeCell ref="E98:F98"/>
    <mergeCell ref="I98:K98"/>
    <mergeCell ref="L98:N98"/>
    <mergeCell ref="O94:P94"/>
    <mergeCell ref="G93:H94"/>
    <mergeCell ref="G95:H95"/>
    <mergeCell ref="G96:H96"/>
    <mergeCell ref="G97:H97"/>
    <mergeCell ref="G98:H98"/>
  </mergeCells>
  <phoneticPr fontId="21" type="noConversion"/>
  <conditionalFormatting sqref="AG11:AG31">
    <cfRule type="cellIs" dxfId="377" priority="182" operator="equal">
      <formula>"Unacceptable Loss"</formula>
    </cfRule>
  </conditionalFormatting>
  <conditionalFormatting sqref="L11:M30">
    <cfRule type="expression" dxfId="376" priority="170">
      <formula>"p18=""Avoid"""</formula>
    </cfRule>
  </conditionalFormatting>
  <conditionalFormatting sqref="L11:M30">
    <cfRule type="cellIs" dxfId="375" priority="169" operator="equal">
      <formula>"Any loss Unacceptable"</formula>
    </cfRule>
  </conditionalFormatting>
  <conditionalFormatting sqref="L11:M30">
    <cfRule type="cellIs" dxfId="374" priority="168" operator="equal">
      <formula>"Any loss Unacceptable"</formula>
    </cfRule>
  </conditionalFormatting>
  <conditionalFormatting sqref="X11:X31">
    <cfRule type="cellIs" dxfId="373" priority="194" operator="equal">
      <formula>"Not Possible"</formula>
    </cfRule>
  </conditionalFormatting>
  <conditionalFormatting sqref="AG11:AG31">
    <cfRule type="cellIs" dxfId="372" priority="177" operator="equal">
      <formula>"Unacceptable Loss"</formula>
    </cfRule>
  </conditionalFormatting>
  <conditionalFormatting sqref="AG11:AG31">
    <cfRule type="cellIs" dxfId="371" priority="172" operator="equal">
      <formula>"Unacceptable Loss"</formula>
    </cfRule>
  </conditionalFormatting>
  <conditionalFormatting sqref="N11:N30">
    <cfRule type="containsText" dxfId="370" priority="17" operator="containsText" text="▲">
      <formula>NOT(ISERROR(SEARCH("▲",N11)))</formula>
    </cfRule>
    <cfRule type="cellIs" dxfId="369" priority="161" operator="equal">
      <formula>"Unacceptable Loss"</formula>
    </cfRule>
  </conditionalFormatting>
  <conditionalFormatting sqref="N11:N30">
    <cfRule type="cellIs" dxfId="368" priority="164" operator="equal">
      <formula>"Unacceptable Loss"</formula>
    </cfRule>
  </conditionalFormatting>
  <conditionalFormatting sqref="N11:N30">
    <cfRule type="cellIs" dxfId="367" priority="162" operator="equal">
      <formula>"Compensation Agreed"</formula>
    </cfRule>
    <cfRule type="cellIs" dxfId="366" priority="163" operator="equal">
      <formula>"Unacceptable Loss"</formula>
    </cfRule>
  </conditionalFormatting>
  <conditionalFormatting sqref="N11:N30">
    <cfRule type="cellIs" dxfId="365" priority="160" operator="equal">
      <formula>"Unacceptable Loss"</formula>
    </cfRule>
  </conditionalFormatting>
  <conditionalFormatting sqref="N11:N30">
    <cfRule type="cellIs" dxfId="364" priority="158" operator="equal">
      <formula>"Compensation Agreed"</formula>
    </cfRule>
    <cfRule type="cellIs" dxfId="363" priority="159" operator="equal">
      <formula>"Unacceptable Loss"</formula>
    </cfRule>
  </conditionalFormatting>
  <conditionalFormatting sqref="N11:N30">
    <cfRule type="cellIs" dxfId="362" priority="157" operator="equal">
      <formula>"Unacceptable Loss"</formula>
    </cfRule>
  </conditionalFormatting>
  <conditionalFormatting sqref="N11:N30">
    <cfRule type="cellIs" dxfId="361" priority="152" operator="equal">
      <formula>"Alternative Compensation"</formula>
    </cfRule>
  </conditionalFormatting>
  <conditionalFormatting sqref="L40:M59">
    <cfRule type="cellIs" dxfId="360" priority="145" operator="equal">
      <formula>"Unacceptable Loss"</formula>
    </cfRule>
  </conditionalFormatting>
  <conditionalFormatting sqref="L40:M59">
    <cfRule type="cellIs" dxfId="359" priority="143" operator="equal">
      <formula>"Compensation Agreed"</formula>
    </cfRule>
    <cfRule type="cellIs" dxfId="358" priority="144" operator="equal">
      <formula>"Unacceptable Loss"</formula>
    </cfRule>
  </conditionalFormatting>
  <conditionalFormatting sqref="L40:M59">
    <cfRule type="cellIs" dxfId="357" priority="142" operator="equal">
      <formula>"Unacceptable Loss"</formula>
    </cfRule>
  </conditionalFormatting>
  <conditionalFormatting sqref="L40:M59">
    <cfRule type="cellIs" dxfId="356" priority="141" operator="equal">
      <formula>"Unacceptable Loss"</formula>
    </cfRule>
  </conditionalFormatting>
  <conditionalFormatting sqref="L40:M59">
    <cfRule type="cellIs" dxfId="355" priority="139" operator="equal">
      <formula>"Compensation Agreed"</formula>
    </cfRule>
    <cfRule type="cellIs" dxfId="354" priority="140" operator="equal">
      <formula>"Unacceptable Loss"</formula>
    </cfRule>
  </conditionalFormatting>
  <conditionalFormatting sqref="L40:M59">
    <cfRule type="cellIs" dxfId="353" priority="138" operator="equal">
      <formula>"Unacceptable Loss"</formula>
    </cfRule>
  </conditionalFormatting>
  <conditionalFormatting sqref="L40:M59">
    <cfRule type="cellIs" dxfId="352" priority="137" operator="equal">
      <formula>"Alternative Compensation"</formula>
    </cfRule>
  </conditionalFormatting>
  <conditionalFormatting sqref="I114:I133">
    <cfRule type="containsText" dxfId="351" priority="108" operator="containsText" text="Yes">
      <formula>NOT(ISERROR(SEARCH("Yes",I114)))</formula>
    </cfRule>
    <cfRule type="containsText" dxfId="350" priority="110" operator="containsText" text="No">
      <formula>NOT(ISERROR(SEARCH("No",I114)))</formula>
    </cfRule>
  </conditionalFormatting>
  <conditionalFormatting sqref="I138:I139">
    <cfRule type="containsText" dxfId="349" priority="106" operator="containsText" text="Yes">
      <formula>NOT(ISERROR(SEARCH("Yes",I138)))</formula>
    </cfRule>
    <cfRule type="containsText" dxfId="348" priority="107" operator="containsText" text="No">
      <formula>NOT(ISERROR(SEARCH("No",I138)))</formula>
    </cfRule>
  </conditionalFormatting>
  <conditionalFormatting sqref="E108:E109">
    <cfRule type="containsText" dxfId="347" priority="104" operator="containsText" text="Trading Rules Satisfied">
      <formula>NOT(ISERROR(SEARCH("Trading Rules Satisfied",E108)))</formula>
    </cfRule>
    <cfRule type="containsText" dxfId="346" priority="105" operator="containsText" text="Error - Trading Rules Not Satisfied">
      <formula>NOT(ISERROR(SEARCH("Error - Trading Rules Not Satisfied",E108)))</formula>
    </cfRule>
  </conditionalFormatting>
  <conditionalFormatting sqref="I140">
    <cfRule type="containsText" dxfId="345" priority="102" operator="containsText" text="Yes">
      <formula>NOT(ISERROR(SEARCH("Yes",I140)))</formula>
    </cfRule>
    <cfRule type="containsText" dxfId="344" priority="103" operator="containsText" text="No">
      <formula>NOT(ISERROR(SEARCH("No",I140)))</formula>
    </cfRule>
  </conditionalFormatting>
  <conditionalFormatting sqref="L60:M60">
    <cfRule type="cellIs" dxfId="343" priority="101" operator="equal">
      <formula>"Unacceptable Loss"</formula>
    </cfRule>
  </conditionalFormatting>
  <conditionalFormatting sqref="L60:M60">
    <cfRule type="cellIs" dxfId="342" priority="99" operator="equal">
      <formula>"Compensation Agreed"</formula>
    </cfRule>
    <cfRule type="cellIs" dxfId="341" priority="100" operator="equal">
      <formula>"Unacceptable Loss"</formula>
    </cfRule>
  </conditionalFormatting>
  <conditionalFormatting sqref="L60:M60">
    <cfRule type="cellIs" dxfId="340" priority="98" operator="equal">
      <formula>"Unacceptable Loss"</formula>
    </cfRule>
  </conditionalFormatting>
  <conditionalFormatting sqref="L60:M60">
    <cfRule type="cellIs" dxfId="339" priority="97" operator="equal">
      <formula>"Unacceptable Loss"</formula>
    </cfRule>
  </conditionalFormatting>
  <conditionalFormatting sqref="L60:M60">
    <cfRule type="cellIs" dxfId="338" priority="95" operator="equal">
      <formula>"Compensation Agreed"</formula>
    </cfRule>
    <cfRule type="cellIs" dxfId="337" priority="96" operator="equal">
      <formula>"Unacceptable Loss"</formula>
    </cfRule>
  </conditionalFormatting>
  <conditionalFormatting sqref="L60:M60">
    <cfRule type="cellIs" dxfId="336" priority="94" operator="equal">
      <formula>"Unacceptable Loss"</formula>
    </cfRule>
  </conditionalFormatting>
  <conditionalFormatting sqref="L60:M60">
    <cfRule type="cellIs" dxfId="335" priority="93" operator="equal">
      <formula>"Alternative Compensation"</formula>
    </cfRule>
  </conditionalFormatting>
  <conditionalFormatting sqref="L31:M31">
    <cfRule type="cellIs" dxfId="334" priority="92" operator="equal">
      <formula>"Unacceptable Loss"</formula>
    </cfRule>
  </conditionalFormatting>
  <conditionalFormatting sqref="L31:M31">
    <cfRule type="cellIs" dxfId="333" priority="90" operator="equal">
      <formula>"Compensation Agreed"</formula>
    </cfRule>
    <cfRule type="cellIs" dxfId="332" priority="91" operator="equal">
      <formula>"Unacceptable Loss"</formula>
    </cfRule>
  </conditionalFormatting>
  <conditionalFormatting sqref="L31:M31">
    <cfRule type="cellIs" dxfId="331" priority="89" operator="equal">
      <formula>"Unacceptable Loss"</formula>
    </cfRule>
  </conditionalFormatting>
  <conditionalFormatting sqref="L31:M31">
    <cfRule type="cellIs" dxfId="330" priority="88" operator="equal">
      <formula>"Unacceptable Loss"</formula>
    </cfRule>
  </conditionalFormatting>
  <conditionalFormatting sqref="L31:M31">
    <cfRule type="cellIs" dxfId="329" priority="86" operator="equal">
      <formula>"Compensation Agreed"</formula>
    </cfRule>
    <cfRule type="cellIs" dxfId="328" priority="87" operator="equal">
      <formula>"Unacceptable Loss"</formula>
    </cfRule>
  </conditionalFormatting>
  <conditionalFormatting sqref="L31:M31">
    <cfRule type="cellIs" dxfId="327" priority="85" operator="equal">
      <formula>"Unacceptable Loss"</formula>
    </cfRule>
  </conditionalFormatting>
  <conditionalFormatting sqref="L31:M31">
    <cfRule type="cellIs" dxfId="326" priority="84" operator="equal">
      <formula>"Alternative Compensation"</formula>
    </cfRule>
  </conditionalFormatting>
  <conditionalFormatting sqref="O6:P6 J2">
    <cfRule type="containsText" dxfId="325" priority="40" operator="containsText" text="Errors Present On Sheet">
      <formula>NOT(ISERROR(SEARCH("Errors Present On Sheet",J2)))</formula>
    </cfRule>
  </conditionalFormatting>
  <conditionalFormatting sqref="X40:X60">
    <cfRule type="cellIs" dxfId="324" priority="80" operator="equal">
      <formula>"Not Possible"</formula>
    </cfRule>
  </conditionalFormatting>
  <conditionalFormatting sqref="I89">
    <cfRule type="expression" dxfId="323" priority="79">
      <formula>"p18=""Avoid"""</formula>
    </cfRule>
  </conditionalFormatting>
  <conditionalFormatting sqref="I89">
    <cfRule type="cellIs" dxfId="322" priority="78" operator="equal">
      <formula>"Any loss Unacceptable"</formula>
    </cfRule>
  </conditionalFormatting>
  <conditionalFormatting sqref="I89">
    <cfRule type="cellIs" dxfId="321" priority="77" operator="equal">
      <formula>"Any loss Unacceptable"</formula>
    </cfRule>
  </conditionalFormatting>
  <conditionalFormatting sqref="L89">
    <cfRule type="expression" dxfId="320" priority="76">
      <formula>"p18=""Avoid"""</formula>
    </cfRule>
  </conditionalFormatting>
  <conditionalFormatting sqref="L89">
    <cfRule type="cellIs" dxfId="319" priority="75" operator="equal">
      <formula>"Any loss Unacceptable"</formula>
    </cfRule>
  </conditionalFormatting>
  <conditionalFormatting sqref="L89">
    <cfRule type="cellIs" dxfId="318" priority="74" operator="equal">
      <formula>"Any loss Unacceptable"</formula>
    </cfRule>
  </conditionalFormatting>
  <conditionalFormatting sqref="AJ68:AJ88">
    <cfRule type="cellIs" dxfId="317" priority="72" operator="equal">
      <formula>"Not Possible"</formula>
    </cfRule>
  </conditionalFormatting>
  <conditionalFormatting sqref="F40">
    <cfRule type="containsBlanks" dxfId="316" priority="196" stopIfTrue="1">
      <formula>LEN(TRIM(F40))=0</formula>
    </cfRule>
    <cfRule type="expression" dxfId="315" priority="197">
      <formula>ISNUMBER(SEARCH(F40,E40,1))</formula>
    </cfRule>
  </conditionalFormatting>
  <conditionalFormatting sqref="L68:M88">
    <cfRule type="cellIs" dxfId="314" priority="59" operator="equal">
      <formula>"Unacceptable Loss"</formula>
    </cfRule>
  </conditionalFormatting>
  <conditionalFormatting sqref="L68:M88">
    <cfRule type="cellIs" dxfId="313" priority="57" operator="equal">
      <formula>"Compensation Agreed"</formula>
    </cfRule>
    <cfRule type="cellIs" dxfId="312" priority="58" operator="equal">
      <formula>"Unacceptable Loss"</formula>
    </cfRule>
  </conditionalFormatting>
  <conditionalFormatting sqref="L68:M88">
    <cfRule type="cellIs" dxfId="311" priority="56" operator="equal">
      <formula>"Unacceptable Loss"</formula>
    </cfRule>
  </conditionalFormatting>
  <conditionalFormatting sqref="L68:M88">
    <cfRule type="cellIs" dxfId="310" priority="55" operator="equal">
      <formula>"Unacceptable Loss"</formula>
    </cfRule>
  </conditionalFormatting>
  <conditionalFormatting sqref="L68:M88">
    <cfRule type="cellIs" dxfId="309" priority="53" operator="equal">
      <formula>"Compensation Agreed"</formula>
    </cfRule>
    <cfRule type="cellIs" dxfId="308" priority="54" operator="equal">
      <formula>"Unacceptable Loss"</formula>
    </cfRule>
  </conditionalFormatting>
  <conditionalFormatting sqref="L68:M88">
    <cfRule type="cellIs" dxfId="307" priority="52" operator="equal">
      <formula>"Unacceptable Loss"</formula>
    </cfRule>
  </conditionalFormatting>
  <conditionalFormatting sqref="L68:M88">
    <cfRule type="cellIs" dxfId="306" priority="51" operator="equal">
      <formula>"Alternative Compensation"</formula>
    </cfRule>
  </conditionalFormatting>
  <conditionalFormatting sqref="K11:K30">
    <cfRule type="expression" dxfId="305" priority="50">
      <formula>$AI11="Enhancement not possible"</formula>
    </cfRule>
  </conditionalFormatting>
  <conditionalFormatting sqref="I33:N35">
    <cfRule type="containsText" dxfId="304" priority="43" operator="containsText" text="error">
      <formula>NOT(ISERROR(SEARCH("error",I33)))</formula>
    </cfRule>
    <cfRule type="containsText" dxfId="303" priority="44" operator="containsText" text="acceptable">
      <formula>NOT(ISERROR(SEARCH("acceptable",I33)))</formula>
    </cfRule>
  </conditionalFormatting>
  <conditionalFormatting sqref="I62:N62">
    <cfRule type="containsText" dxfId="302" priority="41" operator="containsText" text="error">
      <formula>NOT(ISERROR(SEARCH("error",I62)))</formula>
    </cfRule>
    <cfRule type="containsText" dxfId="301" priority="42" operator="containsText" text="acceptable">
      <formula>NOT(ISERROR(SEARCH("acceptable",I62)))</formula>
    </cfRule>
  </conditionalFormatting>
  <conditionalFormatting sqref="J2">
    <cfRule type="containsText" dxfId="300" priority="12" operator="containsText" text="Technical">
      <formula>NOT(ISERROR(SEARCH("Technical",J2)))</formula>
    </cfRule>
  </conditionalFormatting>
  <conditionalFormatting sqref="M11:M30">
    <cfRule type="containsText" dxfId="299" priority="39" operator="containsText" text="error">
      <formula>NOT(ISERROR(SEARCH("error",M11)))</formula>
    </cfRule>
  </conditionalFormatting>
  <conditionalFormatting sqref="F41:F43">
    <cfRule type="containsBlanks" dxfId="298" priority="200" stopIfTrue="1">
      <formula>LEN(TRIM(F41))=0</formula>
    </cfRule>
    <cfRule type="expression" dxfId="297" priority="201">
      <formula>ISNUMBER(SEARCH(F41,E41,1))</formula>
    </cfRule>
  </conditionalFormatting>
  <conditionalFormatting sqref="F44:F59">
    <cfRule type="containsBlanks" dxfId="296" priority="37" stopIfTrue="1">
      <formula>LEN(TRIM(F44))=0</formula>
    </cfRule>
    <cfRule type="expression" dxfId="295" priority="38">
      <formula>ISNUMBER(SEARCH(F44,E44,1))</formula>
    </cfRule>
  </conditionalFormatting>
  <conditionalFormatting sqref="H88">
    <cfRule type="expression" dxfId="294" priority="25">
      <formula>$D88=""</formula>
    </cfRule>
  </conditionalFormatting>
  <conditionalFormatting sqref="E68:E88">
    <cfRule type="cellIs" dxfId="293" priority="22" operator="equal">
      <formula>"Enhancement not possible"</formula>
    </cfRule>
  </conditionalFormatting>
  <conditionalFormatting sqref="F68:G87">
    <cfRule type="containsText" dxfId="292" priority="4" operator="containsText" text="not possible">
      <formula>NOT(ISERROR(SEARCH("not possible",F68)))</formula>
    </cfRule>
    <cfRule type="expression" dxfId="291" priority="21">
      <formula>$D68=""</formula>
    </cfRule>
  </conditionalFormatting>
  <conditionalFormatting sqref="N11:N30">
    <cfRule type="containsText" dxfId="290" priority="20" operator="containsText" text="error">
      <formula>NOT(ISERROR(SEARCH("error",N11)))</formula>
    </cfRule>
  </conditionalFormatting>
  <conditionalFormatting sqref="L11:L30">
    <cfRule type="containsText" dxfId="289" priority="19" operator="containsText" text="value">
      <formula>NOT(ISERROR(SEARCH("value",L11)))</formula>
    </cfRule>
  </conditionalFormatting>
  <conditionalFormatting sqref="L11:L30">
    <cfRule type="containsText" dxfId="288" priority="13" operator="containsText" text="▲">
      <formula>NOT(ISERROR(SEARCH("▲",L11)))</formula>
    </cfRule>
  </conditionalFormatting>
  <conditionalFormatting sqref="L40:N59">
    <cfRule type="containsText" dxfId="287" priority="15" operator="containsText" text="▲">
      <formula>NOT(ISERROR(SEARCH("▲",L40)))</formula>
    </cfRule>
    <cfRule type="containsText" dxfId="286" priority="16" operator="containsText" text="value">
      <formula>NOT(ISERROR(SEARCH("value",L40)))</formula>
    </cfRule>
  </conditionalFormatting>
  <conditionalFormatting sqref="L68:L88">
    <cfRule type="containsText" dxfId="285" priority="14" operator="containsText" text="▲">
      <formula>NOT(ISERROR(SEARCH("▲",L68)))</formula>
    </cfRule>
  </conditionalFormatting>
  <conditionalFormatting sqref="E100:G100">
    <cfRule type="containsText" dxfId="284" priority="11" operator="containsText" text="Error">
      <formula>NOT(ISERROR(SEARCH("Error",E100)))</formula>
    </cfRule>
  </conditionalFormatting>
  <conditionalFormatting sqref="L95:N97">
    <cfRule type="containsText" dxfId="283" priority="10" operator="containsText" text="Error">
      <formula>NOT(ISERROR(SEARCH("Error",L95)))</formula>
    </cfRule>
  </conditionalFormatting>
  <conditionalFormatting sqref="I134:I135">
    <cfRule type="containsText" dxfId="282" priority="8" operator="containsText" text="Yes">
      <formula>NOT(ISERROR(SEARCH("Yes",I134)))</formula>
    </cfRule>
    <cfRule type="containsText" dxfId="281" priority="9" operator="containsText" text="No">
      <formula>NOT(ISERROR(SEARCH("No",I134)))</formula>
    </cfRule>
  </conditionalFormatting>
  <conditionalFormatting sqref="P1:P5">
    <cfRule type="containsText" dxfId="280" priority="7" operator="containsText" text="Error ▲">
      <formula>NOT(ISERROR(SEARCH("Error ▲",P1)))</formula>
    </cfRule>
  </conditionalFormatting>
  <conditionalFormatting sqref="M68:N87">
    <cfRule type="containsText" dxfId="279" priority="6" operator="containsText" text="Error ▲">
      <formula>NOT(ISERROR(SEARCH("Error ▲",M68)))</formula>
    </cfRule>
  </conditionalFormatting>
  <conditionalFormatting sqref="J68:K87">
    <cfRule type="containsText" dxfId="278" priority="5" operator="containsText" text="Error ▲">
      <formula>NOT(ISERROR(SEARCH("Error ▲",J68)))</formula>
    </cfRule>
  </conditionalFormatting>
  <conditionalFormatting sqref="E95:F97">
    <cfRule type="cellIs" dxfId="277" priority="205" operator="greaterThan">
      <formula>$D95</formula>
    </cfRule>
  </conditionalFormatting>
  <conditionalFormatting sqref="L98:N98">
    <cfRule type="containsText" dxfId="276" priority="1" operator="containsText" text="Error">
      <formula>NOT(ISERROR(SEARCH("Error",L98)))</formula>
    </cfRule>
  </conditionalFormatting>
  <conditionalFormatting sqref="E98:F98">
    <cfRule type="cellIs" dxfId="275" priority="3" operator="greaterThan">
      <formula>$D98</formula>
    </cfRule>
  </conditionalFormatting>
  <dataValidations count="3">
    <dataValidation type="list" allowBlank="1" showInputMessage="1" showErrorMessage="1" sqref="D40:D59 D11:E30" xr:uid="{29295E1B-B708-4FFC-AEA7-0A542EBB8F9C}">
      <formula1>INDIRECT(SUBSTITUTE(C11," ",""))</formula1>
    </dataValidation>
    <dataValidation type="list" allowBlank="1" showInputMessage="1" showErrorMessage="1" sqref="BX63" xr:uid="{CA39F4B1-099E-4977-996D-6C6132E5EF56}">
      <formula1>INDIRECT("BV68:BV"&amp;BV63+67)</formula1>
    </dataValidation>
    <dataValidation type="list" allowBlank="1" showInputMessage="1" showErrorMessage="1" sqref="F68:G87" xr:uid="{D9BE6C4E-D2E3-4727-A306-B5E377667653}">
      <formula1>INDIRECT(BV68)</formula1>
    </dataValidation>
  </dataValidations>
  <pageMargins left="0.7" right="0.7" top="0.75" bottom="0.75" header="0.3" footer="0.3"/>
  <pageSetup paperSize="9" scale="22"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8DEEC304-660C-4352-BCED-E423A4D84715}">
          <x14:formula1>
            <xm:f>'11. Lists'!$A$2:$A$11</xm:f>
          </x14:formula1>
          <xm:sqref>C40:C59 C11:C30</xm:sqref>
        </x14:dataValidation>
        <x14:dataValidation type="list" allowBlank="1" showInputMessage="1" showErrorMessage="1" xr:uid="{6A0E90FD-C45C-4EEE-94A0-6C0B179AC7A4}">
          <x14:formula1>
            <xm:f>'11. Lists'!$F$36:$F$37</xm:f>
          </x14:formula1>
          <xm:sqref>H40:H60 H68:H88 F11:H31</xm:sqref>
        </x14:dataValidation>
        <x14:dataValidation type="list" allowBlank="1" showInputMessage="1" showErrorMessage="1" xr:uid="{753D403C-FC57-4E7C-B04C-0535AA9E9FAF}">
          <x14:formula1>
            <xm:f>'11. Lists'!$F$47:$F$51</xm:f>
          </x14:formula1>
          <xm:sqref>F40:G59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3631-8921-4865-916B-1CF388715C68}">
  <sheetPr codeName="Sheet3">
    <tabColor rgb="FF663300"/>
    <pageSetUpPr fitToPage="1"/>
  </sheetPr>
  <dimension ref="A1:CB127"/>
  <sheetViews>
    <sheetView topLeftCell="A3" zoomScale="80" zoomScaleNormal="80" workbookViewId="0">
      <selection activeCell="I40" sqref="I40:K40"/>
    </sheetView>
  </sheetViews>
  <sheetFormatPr defaultColWidth="0" defaultRowHeight="14.4" zeroHeight="1" x14ac:dyDescent="0.3"/>
  <cols>
    <col min="1" max="1" width="4.5546875" customWidth="1"/>
    <col min="2" max="2" width="14.77734375" customWidth="1"/>
    <col min="3" max="3" width="24.44140625" bestFit="1" customWidth="1"/>
    <col min="4" max="4" width="40.21875" customWidth="1"/>
    <col min="5" max="5" width="27" customWidth="1"/>
    <col min="6" max="6" width="18.5546875" customWidth="1"/>
    <col min="7" max="7" width="39.77734375" customWidth="1"/>
    <col min="8" max="8" width="49.21875" bestFit="1" customWidth="1"/>
    <col min="9" max="9" width="14.5546875" customWidth="1"/>
    <col min="10" max="10" width="12.77734375" customWidth="1"/>
    <col min="11" max="11" width="11.44140625" customWidth="1"/>
    <col min="12" max="12" width="13" customWidth="1"/>
    <col min="13" max="14" width="11.44140625" customWidth="1"/>
    <col min="15" max="16" width="27" customWidth="1"/>
    <col min="17" max="18" width="11.44140625" customWidth="1"/>
    <col min="19" max="19" width="2.5546875" customWidth="1"/>
    <col min="20" max="20" width="16.77734375" customWidth="1"/>
    <col min="21" max="21" width="14.77734375" customWidth="1"/>
    <col min="22" max="22" width="20.77734375" bestFit="1" customWidth="1"/>
    <col min="23" max="23" width="23.77734375" customWidth="1"/>
    <col min="24" max="24" width="16.77734375" bestFit="1" customWidth="1"/>
    <col min="25" max="25" width="14" hidden="1" customWidth="1"/>
    <col min="26" max="26" width="22" hidden="1" customWidth="1"/>
    <col min="27" max="27" width="14" hidden="1" customWidth="1"/>
    <col min="28" max="28" width="33.77734375" customWidth="1"/>
    <col min="29" max="30" width="32.77734375" customWidth="1"/>
    <col min="31" max="31" width="18.77734375" customWidth="1"/>
    <col min="32" max="32" width="23.77734375" customWidth="1"/>
    <col min="33" max="33" width="16.77734375" customWidth="1"/>
    <col min="34" max="34" width="65.77734375" bestFit="1" customWidth="1"/>
    <col min="35" max="35" width="207" bestFit="1" customWidth="1"/>
    <col min="36" max="36" width="23.5546875" customWidth="1"/>
    <col min="37" max="37" width="23.5546875" hidden="1" customWidth="1"/>
    <col min="38" max="38" width="16.77734375" hidden="1" customWidth="1"/>
    <col min="39" max="39" width="13.21875" hidden="1" customWidth="1"/>
    <col min="40" max="40" width="12.21875" customWidth="1"/>
    <col min="41" max="41" width="34.21875" bestFit="1" customWidth="1"/>
    <col min="42" max="42" width="19.77734375" bestFit="1" customWidth="1"/>
    <col min="43" max="43" width="16.21875" bestFit="1" customWidth="1"/>
    <col min="44" max="47" width="27.21875" customWidth="1"/>
    <col min="48" max="48" width="21.21875" bestFit="1" customWidth="1"/>
    <col min="49" max="49" width="23.21875" bestFit="1" customWidth="1"/>
    <col min="50" max="50" width="68.21875" customWidth="1"/>
    <col min="51" max="51" width="23.21875" customWidth="1"/>
    <col min="52" max="52" width="24.44140625" customWidth="1"/>
    <col min="53" max="53" width="18.77734375" customWidth="1"/>
    <col min="54" max="73" width="31.77734375" customWidth="1"/>
    <col min="74" max="74" width="15.5546875" customWidth="1"/>
    <col min="75" max="80" width="8.77734375" customWidth="1"/>
    <col min="81" max="16384" width="8.77734375" hidden="1"/>
  </cols>
  <sheetData>
    <row r="1" spans="1:35" s="25" customFormat="1" ht="15.75" customHeight="1" thickBot="1" x14ac:dyDescent="0.35">
      <c r="I1" s="52"/>
      <c r="J1" s="52"/>
      <c r="K1" s="52"/>
      <c r="L1" s="52"/>
      <c r="M1" s="52"/>
      <c r="N1" s="52"/>
      <c r="O1" s="154" t="s">
        <v>51</v>
      </c>
      <c r="P1" s="277">
        <f>IFERROR(SUM(AE11:AE30), "Error ▲")</f>
        <v>0.26</v>
      </c>
      <c r="R1" s="741" t="s">
        <v>52</v>
      </c>
      <c r="T1" s="26"/>
    </row>
    <row r="2" spans="1:35" s="25" customFormat="1" ht="19.95" customHeight="1" x14ac:dyDescent="0.35">
      <c r="B2" s="80" t="s">
        <v>53</v>
      </c>
      <c r="C2" s="704" t="str">
        <f>IF('2. Site Details'!D4="","Enter site name on 2. Site Details",'2. Site Details'!D4)</f>
        <v>Toad Hall Farm</v>
      </c>
      <c r="D2" s="705"/>
      <c r="F2" s="770" t="s">
        <v>215</v>
      </c>
      <c r="G2" s="771"/>
      <c r="H2" s="772"/>
      <c r="I2" s="52"/>
      <c r="J2" s="784" t="str" cm="1">
        <f t="array" aca="1" ref="J2" ca="1">IFERROR(IF(OR((ISNUMBER(SEARCH("▲",A7:Q101)))),"Input Errors Present On Sheet - Red Cells Or ▲ Highlight Errors","All Key Rules Satisfied ✓ "),"Technical Errors On Sheet ▲")</f>
        <v xml:space="preserve">All Key Rules Satisfied ✓ </v>
      </c>
      <c r="K2" s="784"/>
      <c r="L2" s="784"/>
      <c r="M2" s="784"/>
      <c r="N2" s="81"/>
      <c r="O2" s="83" t="s">
        <v>55</v>
      </c>
      <c r="P2" s="277">
        <f>IFERROR(N31, "Error ▲")</f>
        <v>0</v>
      </c>
      <c r="R2" s="741"/>
      <c r="T2" s="26"/>
    </row>
    <row r="3" spans="1:35" s="25" customFormat="1" ht="19.95" customHeight="1" thickBot="1" x14ac:dyDescent="0.4">
      <c r="B3" s="82" t="s">
        <v>13</v>
      </c>
      <c r="C3" s="706" t="s">
        <v>216</v>
      </c>
      <c r="D3" s="707"/>
      <c r="F3" s="773"/>
      <c r="G3" s="774"/>
      <c r="H3" s="775"/>
      <c r="I3" s="52"/>
      <c r="J3" s="784"/>
      <c r="K3" s="784"/>
      <c r="L3" s="784"/>
      <c r="M3" s="784"/>
      <c r="N3" s="81"/>
      <c r="O3" s="83" t="s">
        <v>57</v>
      </c>
      <c r="P3" s="277">
        <f>IFERROR(L59, "Error ▲")</f>
        <v>3.9127221641999999E-2</v>
      </c>
      <c r="R3" s="741"/>
      <c r="T3" s="26"/>
    </row>
    <row r="4" spans="1:35" s="25" customFormat="1" ht="19.95" customHeight="1" x14ac:dyDescent="0.3">
      <c r="B4" s="84"/>
      <c r="C4" s="84"/>
      <c r="D4" s="84"/>
      <c r="F4" s="773"/>
      <c r="G4" s="774"/>
      <c r="H4" s="775"/>
      <c r="I4" s="52"/>
      <c r="J4" s="784"/>
      <c r="K4" s="784"/>
      <c r="L4" s="784"/>
      <c r="M4" s="784"/>
      <c r="N4" s="81"/>
      <c r="O4" s="83" t="s">
        <v>58</v>
      </c>
      <c r="P4" s="277">
        <f>IFERROR(L86, "Error ▲")</f>
        <v>0</v>
      </c>
      <c r="R4" s="741"/>
      <c r="T4" s="26"/>
    </row>
    <row r="5" spans="1:35" s="25" customFormat="1" ht="19.95" customHeight="1" thickBot="1" x14ac:dyDescent="0.35">
      <c r="A5" s="85"/>
      <c r="F5" s="773"/>
      <c r="G5" s="774"/>
      <c r="H5" s="775"/>
      <c r="I5" s="52"/>
      <c r="J5" s="784"/>
      <c r="K5" s="784"/>
      <c r="L5" s="784"/>
      <c r="M5" s="784"/>
      <c r="N5" s="81"/>
      <c r="O5" s="86" t="s">
        <v>59</v>
      </c>
      <c r="P5" s="278">
        <f>IFERROR(P1+L59+L86-L31, "Error ▲")</f>
        <v>3.9127221641999999E-2</v>
      </c>
      <c r="R5" s="741"/>
      <c r="T5" s="26"/>
    </row>
    <row r="6" spans="1:35" s="25" customFormat="1" ht="13.2" customHeight="1" thickBot="1" x14ac:dyDescent="0.35">
      <c r="A6" s="85"/>
      <c r="F6" s="776"/>
      <c r="G6" s="777"/>
      <c r="H6" s="778"/>
      <c r="I6" s="52"/>
      <c r="J6" s="52"/>
      <c r="K6" s="52"/>
      <c r="L6" s="52"/>
      <c r="M6" s="52"/>
      <c r="N6" s="52"/>
      <c r="O6" s="87"/>
      <c r="P6" s="87"/>
      <c r="R6" s="741"/>
      <c r="T6" s="26"/>
    </row>
    <row r="7" spans="1:35" s="25" customFormat="1" ht="19.2" customHeight="1" x14ac:dyDescent="0.4">
      <c r="B7" s="57" t="s">
        <v>60</v>
      </c>
      <c r="D7" s="88"/>
      <c r="H7" s="26"/>
      <c r="K7" s="26"/>
      <c r="L7" s="30"/>
      <c r="M7" s="30"/>
      <c r="N7" s="30"/>
      <c r="R7" s="741"/>
      <c r="T7" s="26"/>
    </row>
    <row r="8" spans="1:35" s="25" customFormat="1" ht="10.95" customHeight="1" thickBot="1" x14ac:dyDescent="0.35">
      <c r="A8" s="89"/>
      <c r="R8" s="741"/>
    </row>
    <row r="9" spans="1:35" s="25" customFormat="1" ht="29.55" customHeight="1" x14ac:dyDescent="0.3">
      <c r="A9" s="89"/>
      <c r="B9" s="719" t="s">
        <v>46</v>
      </c>
      <c r="C9" s="708" t="s">
        <v>61</v>
      </c>
      <c r="D9" s="718"/>
      <c r="E9" s="710"/>
      <c r="F9" s="654" t="s">
        <v>62</v>
      </c>
      <c r="G9" s="782"/>
      <c r="H9" s="655"/>
      <c r="I9" s="708" t="s">
        <v>217</v>
      </c>
      <c r="J9" s="718"/>
      <c r="K9" s="710"/>
      <c r="L9" s="796" t="s">
        <v>64</v>
      </c>
      <c r="M9" s="797"/>
      <c r="N9" s="798"/>
      <c r="O9" s="796" t="s">
        <v>65</v>
      </c>
      <c r="P9" s="798"/>
      <c r="R9" s="741"/>
      <c r="T9" s="684" t="s">
        <v>66</v>
      </c>
      <c r="U9" s="685"/>
      <c r="V9" s="876"/>
      <c r="W9" s="684" t="s">
        <v>67</v>
      </c>
      <c r="X9" s="686"/>
      <c r="Y9" s="800"/>
      <c r="Z9" s="800"/>
      <c r="AA9" s="800"/>
      <c r="AB9" s="799" t="s">
        <v>68</v>
      </c>
      <c r="AC9" s="685"/>
      <c r="AD9" s="686"/>
      <c r="AE9" s="684" t="s">
        <v>69</v>
      </c>
      <c r="AF9" s="685"/>
      <c r="AG9" s="686"/>
      <c r="AH9" s="684" t="s">
        <v>70</v>
      </c>
      <c r="AI9" s="686" t="s">
        <v>71</v>
      </c>
    </row>
    <row r="10" spans="1:35" s="25" customFormat="1" ht="32.549999999999997" customHeight="1" thickBot="1" x14ac:dyDescent="0.35">
      <c r="A10" s="89"/>
      <c r="B10" s="667"/>
      <c r="C10" s="86" t="s">
        <v>72</v>
      </c>
      <c r="D10" s="769" t="s">
        <v>73</v>
      </c>
      <c r="E10" s="881"/>
      <c r="F10" s="656"/>
      <c r="G10" s="783"/>
      <c r="H10" s="657"/>
      <c r="I10" s="86" t="s">
        <v>218</v>
      </c>
      <c r="J10" s="197" t="s">
        <v>219</v>
      </c>
      <c r="K10" s="90" t="s">
        <v>220</v>
      </c>
      <c r="L10" s="392" t="s">
        <v>221</v>
      </c>
      <c r="M10" s="393" t="s">
        <v>222</v>
      </c>
      <c r="N10" s="394" t="s">
        <v>79</v>
      </c>
      <c r="O10" s="86" t="s">
        <v>80</v>
      </c>
      <c r="P10" s="90" t="s">
        <v>81</v>
      </c>
      <c r="R10" s="741"/>
      <c r="T10" s="785" t="s">
        <v>82</v>
      </c>
      <c r="U10" s="786"/>
      <c r="V10" s="341" t="s">
        <v>83</v>
      </c>
      <c r="W10" s="91" t="s">
        <v>84</v>
      </c>
      <c r="X10" s="92" t="s">
        <v>83</v>
      </c>
      <c r="Y10" s="346"/>
      <c r="Z10" s="346"/>
      <c r="AA10" s="346"/>
      <c r="AB10" s="334" t="s">
        <v>68</v>
      </c>
      <c r="AC10" s="49" t="s">
        <v>68</v>
      </c>
      <c r="AD10" s="92" t="s">
        <v>85</v>
      </c>
      <c r="AE10" s="91" t="s">
        <v>86</v>
      </c>
      <c r="AF10" s="49" t="s">
        <v>87</v>
      </c>
      <c r="AG10" s="92" t="s">
        <v>88</v>
      </c>
      <c r="AH10" s="785"/>
      <c r="AI10" s="880"/>
    </row>
    <row r="11" spans="1:35" s="25" customFormat="1" ht="28.8" x14ac:dyDescent="0.3">
      <c r="A11" s="89"/>
      <c r="B11" s="270">
        <v>1</v>
      </c>
      <c r="C11" s="551" t="s">
        <v>223</v>
      </c>
      <c r="D11" s="882" t="s">
        <v>236</v>
      </c>
      <c r="E11" s="883"/>
      <c r="F11" s="884" t="s">
        <v>112</v>
      </c>
      <c r="G11" s="885"/>
      <c r="H11" s="886"/>
      <c r="I11" s="302">
        <v>65</v>
      </c>
      <c r="J11" s="303">
        <v>65</v>
      </c>
      <c r="K11" s="304"/>
      <c r="L11" s="295">
        <f>IF(D11="","",IFERROR(IF(I11="","",((I11/1000)*V11*X11)*AD11),"This intervention is not permitted within the SSM ▲"))</f>
        <v>0.26</v>
      </c>
      <c r="M11" s="314">
        <f>IF(I11="","",IF(J11+K11&gt;I11,"Length Error ▲",I11-J11-K11))</f>
        <v>0</v>
      </c>
      <c r="N11" s="296">
        <f>IFERROR(IF(I11="","",IF(M11="Length Error ▲","Length Error ▲",((M11/1000)*V11*X11)*AD11)),"This intervention is not permitted within the SSM ▲")</f>
        <v>0</v>
      </c>
      <c r="O11" s="143" t="s">
        <v>1068</v>
      </c>
      <c r="P11" s="144"/>
      <c r="R11" s="741"/>
      <c r="T11" s="787" t="str">
        <f>IF(D11="","",VLOOKUP(D11,'9. All Habitats + Multipliers'!$C$4:$K$102,5,FALSE))</f>
        <v>Low</v>
      </c>
      <c r="U11" s="788"/>
      <c r="V11" s="344">
        <f>IF(T11="","",VLOOKUP(T11,'11. Lists'!$S$47:$U$50,2,FALSE))</f>
        <v>2</v>
      </c>
      <c r="W11" s="93" t="str">
        <f>IF(D11="","",VLOOKUP(D11,'10. Condition and Temporal'!$B$6:$C$103,2,FALSE))</f>
        <v>Moderate</v>
      </c>
      <c r="X11" s="94">
        <f>IF(W11="","",VLOOKUP(W11,'11. Lists'!$F$47:$G$51,2,FALSE))</f>
        <v>2</v>
      </c>
      <c r="Y11" s="48"/>
      <c r="Z11" s="48"/>
      <c r="AA11" s="48"/>
      <c r="AB11" s="184" t="str">
        <f>IF(F11="","",F11)</f>
        <v>Area/compensation not in local strategy/ no local strategy</v>
      </c>
      <c r="AC11" s="95" t="str">
        <f>IF(AB11="","",VLOOKUP(AB11,'11. Lists'!$F$36:$H$38,2,FALSE))</f>
        <v>Low Strategic Significance</v>
      </c>
      <c r="AD11" s="94">
        <f>IF(AB11="","",VLOOKUP(AB11,'11. Lists'!$F$36:$H$38,3,FALSE))</f>
        <v>1</v>
      </c>
      <c r="AE11" s="298">
        <f>IF(D11="","",((J11/1000)*V11*X11)*AD11)</f>
        <v>0.26</v>
      </c>
      <c r="AF11" s="299">
        <f>IF(D11="","",((K11/1000)*V11*X11)*AD11)</f>
        <v>0</v>
      </c>
      <c r="AG11" s="96">
        <f>IF(D11="","",M11)</f>
        <v>0</v>
      </c>
      <c r="AH11" s="93" t="str">
        <f>IF(T11="","",VLOOKUP(T11,'11. Lists'!$B$47:$D$49,3,FALSE))</f>
        <v>Same distinctiveness or better habitat required</v>
      </c>
      <c r="AI11" s="94" t="str">
        <f>IF(D11="","",VLOOKUP(D11,'10. Condition and Temporal'!$B$6:$L$103,4,FALSE))</f>
        <v>Native hedgerow, Species-rich native hedgerow, Native hedgerow - associated with bank or ditch, Native hedgerow with trees</v>
      </c>
    </row>
    <row r="12" spans="1:35" s="25" customFormat="1" ht="28.8" x14ac:dyDescent="0.3">
      <c r="B12" s="264">
        <v>2</v>
      </c>
      <c r="C12" s="551" t="s">
        <v>223</v>
      </c>
      <c r="D12" s="826"/>
      <c r="E12" s="827"/>
      <c r="F12" s="877"/>
      <c r="G12" s="878"/>
      <c r="H12" s="879"/>
      <c r="I12" s="305"/>
      <c r="J12" s="306"/>
      <c r="K12" s="307"/>
      <c r="L12" s="294" t="str">
        <f t="shared" ref="L12:L30" si="0">IF(D12="","",IFERROR(IF(I12="","",((I12/1000)*V12*X12)*AD12),"This intervention is not permitted within the SSM ▲"))</f>
        <v/>
      </c>
      <c r="M12" s="301" t="str">
        <f t="shared" ref="M12:M30" si="1">IF(I12="","",IF(J12+K12&gt;I12,"Length Error ▲",I12-J12-K12))</f>
        <v/>
      </c>
      <c r="N12" s="290" t="str">
        <f t="shared" ref="N12:N30" si="2">IFERROR(IF(I12="","",IF(M12="Length Error ▲","Length Error ▲",((M12/1000)*V12*X12)*AD12)),"This intervention is not permitted within the SSM ▲")</f>
        <v/>
      </c>
      <c r="O12" s="68"/>
      <c r="P12" s="3"/>
      <c r="R12" s="741"/>
      <c r="T12" s="787" t="str">
        <f>IF(D12="","",VLOOKUP(D12,'9. All Habitats + Multipliers'!$C$4:$K$102,5,FALSE))</f>
        <v/>
      </c>
      <c r="U12" s="788"/>
      <c r="V12" s="344" t="str">
        <f>IF(T12="","",VLOOKUP(T12,'11. Lists'!$S$47:$U$50,2,FALSE))</f>
        <v/>
      </c>
      <c r="W12" s="93" t="str">
        <f>IF(D12="","",VLOOKUP(D12,'10. Condition and Temporal'!$B$6:$C$103,2,FALSE))</f>
        <v/>
      </c>
      <c r="X12" s="94" t="str">
        <f>IF(W12="","",VLOOKUP(W12,'11. Lists'!$F$47:$G$51,2,FALSE))</f>
        <v/>
      </c>
      <c r="Y12" s="48"/>
      <c r="Z12" s="48"/>
      <c r="AA12" s="48"/>
      <c r="AB12" s="184" t="str">
        <f>IF(F12="","",F12)</f>
        <v/>
      </c>
      <c r="AC12" s="95" t="str">
        <f>IF(AB12="","",VLOOKUP(AB12,'11. Lists'!$F$36:$H$38,2,FALSE))</f>
        <v/>
      </c>
      <c r="AD12" s="94" t="str">
        <f>IF(AB12="","",VLOOKUP(AB12,'11. Lists'!$F$36:$H$38,3,FALSE))</f>
        <v/>
      </c>
      <c r="AE12" s="298" t="str">
        <f t="shared" ref="AE12:AE30" si="3">IF(D12="","",((J12/1000)*V12*X12)*AD12)</f>
        <v/>
      </c>
      <c r="AF12" s="299" t="str">
        <f t="shared" ref="AF12:AF30" si="4">IF(D12="","",((K12/1000)*V12*X12)*AD12)</f>
        <v/>
      </c>
      <c r="AG12" s="96" t="str">
        <f t="shared" ref="AG12:AG30" si="5">IF(D12="","",M12)</f>
        <v/>
      </c>
      <c r="AH12" s="93" t="str">
        <f>IF(T12="","",VLOOKUP(T12,'11. Lists'!$B$47:$D$49,3,FALSE))</f>
        <v/>
      </c>
      <c r="AI12" s="94" t="str">
        <f>IF(D12="","",VLOOKUP(D12,'10. Condition and Temporal'!$B$6:$L$103,4,FALSE))</f>
        <v/>
      </c>
    </row>
    <row r="13" spans="1:35" s="25" customFormat="1" ht="28.8" x14ac:dyDescent="0.3">
      <c r="B13" s="264">
        <v>3</v>
      </c>
      <c r="C13" s="551" t="s">
        <v>223</v>
      </c>
      <c r="D13" s="826"/>
      <c r="E13" s="827"/>
      <c r="F13" s="877"/>
      <c r="G13" s="878"/>
      <c r="H13" s="879"/>
      <c r="I13" s="305"/>
      <c r="J13" s="306"/>
      <c r="K13" s="307"/>
      <c r="L13" s="294" t="str">
        <f t="shared" si="0"/>
        <v/>
      </c>
      <c r="M13" s="301" t="str">
        <f t="shared" si="1"/>
        <v/>
      </c>
      <c r="N13" s="290" t="str">
        <f t="shared" si="2"/>
        <v/>
      </c>
      <c r="O13" s="286"/>
      <c r="P13" s="3"/>
      <c r="R13" s="741"/>
      <c r="T13" s="787" t="str">
        <f>IF(D13="","",VLOOKUP(D13,'9. All Habitats + Multipliers'!$C$4:$K$102,5,FALSE))</f>
        <v/>
      </c>
      <c r="U13" s="788"/>
      <c r="V13" s="344" t="str">
        <f>IF(T13="","",VLOOKUP(T13,'11. Lists'!$S$47:$U$50,2,FALSE))</f>
        <v/>
      </c>
      <c r="W13" s="93" t="str">
        <f>IF(D13="","",VLOOKUP(D13,'10. Condition and Temporal'!$B$6:$C$103,2,FALSE))</f>
        <v/>
      </c>
      <c r="X13" s="94" t="str">
        <f>IF(W13="","",VLOOKUP(W13,'11. Lists'!$F$47:$G$51,2,FALSE))</f>
        <v/>
      </c>
      <c r="Y13" s="48"/>
      <c r="Z13" s="48"/>
      <c r="AA13" s="48"/>
      <c r="AB13" s="184" t="str">
        <f t="shared" ref="AB13:AB30" si="6">IF(F13="","",F13)</f>
        <v/>
      </c>
      <c r="AC13" s="95" t="str">
        <f>IF(AB13="","",VLOOKUP(AB13,'11. Lists'!$F$36:$H$38,2,FALSE))</f>
        <v/>
      </c>
      <c r="AD13" s="94" t="str">
        <f>IF(AB13="","",VLOOKUP(AB13,'11. Lists'!$F$36:$H$38,3,FALSE))</f>
        <v/>
      </c>
      <c r="AE13" s="298" t="str">
        <f t="shared" si="3"/>
        <v/>
      </c>
      <c r="AF13" s="299" t="str">
        <f t="shared" si="4"/>
        <v/>
      </c>
      <c r="AG13" s="96" t="str">
        <f t="shared" si="5"/>
        <v/>
      </c>
      <c r="AH13" s="93" t="str">
        <f>IF(T13="","",VLOOKUP(T13,'11. Lists'!$B$47:$D$49,3,FALSE))</f>
        <v/>
      </c>
      <c r="AI13" s="94" t="str">
        <f>IF(D13="","",VLOOKUP(D13,'10. Condition and Temporal'!$B$6:$L$103,4,FALSE))</f>
        <v/>
      </c>
    </row>
    <row r="14" spans="1:35" s="25" customFormat="1" ht="28.8" x14ac:dyDescent="0.3">
      <c r="B14" s="264">
        <v>4</v>
      </c>
      <c r="C14" s="551" t="s">
        <v>223</v>
      </c>
      <c r="D14" s="826"/>
      <c r="E14" s="827"/>
      <c r="F14" s="877"/>
      <c r="G14" s="878"/>
      <c r="H14" s="879"/>
      <c r="I14" s="305"/>
      <c r="J14" s="306"/>
      <c r="K14" s="307"/>
      <c r="L14" s="294" t="str">
        <f t="shared" si="0"/>
        <v/>
      </c>
      <c r="M14" s="301" t="str">
        <f t="shared" si="1"/>
        <v/>
      </c>
      <c r="N14" s="290" t="str">
        <f t="shared" si="2"/>
        <v/>
      </c>
      <c r="O14" s="68"/>
      <c r="P14" s="3"/>
      <c r="R14" s="741"/>
      <c r="T14" s="787" t="str">
        <f>IF(D14="","",VLOOKUP(D14,'9. All Habitats + Multipliers'!$C$4:$K$102,5,FALSE))</f>
        <v/>
      </c>
      <c r="U14" s="788"/>
      <c r="V14" s="344" t="str">
        <f>IF(T14="","",VLOOKUP(T14,'11. Lists'!$S$47:$U$50,2,FALSE))</f>
        <v/>
      </c>
      <c r="W14" s="93" t="str">
        <f>IF(D14="","",VLOOKUP(D14,'10. Condition and Temporal'!$B$6:$C$103,2,FALSE))</f>
        <v/>
      </c>
      <c r="X14" s="94" t="str">
        <f>IF(W14="","",VLOOKUP(W14,'11. Lists'!$F$47:$G$51,2,FALSE))</f>
        <v/>
      </c>
      <c r="Y14" s="48"/>
      <c r="Z14" s="48"/>
      <c r="AA14" s="48"/>
      <c r="AB14" s="184" t="str">
        <f t="shared" si="6"/>
        <v/>
      </c>
      <c r="AC14" s="95" t="str">
        <f>IF(AB14="","",VLOOKUP(AB14,'11. Lists'!$F$36:$H$38,2,FALSE))</f>
        <v/>
      </c>
      <c r="AD14" s="94" t="str">
        <f>IF(AB14="","",VLOOKUP(AB14,'11. Lists'!$F$36:$H$38,3,FALSE))</f>
        <v/>
      </c>
      <c r="AE14" s="298" t="str">
        <f t="shared" si="3"/>
        <v/>
      </c>
      <c r="AF14" s="299" t="str">
        <f t="shared" si="4"/>
        <v/>
      </c>
      <c r="AG14" s="96" t="str">
        <f t="shared" si="5"/>
        <v/>
      </c>
      <c r="AH14" s="93" t="str">
        <f>IF(T14="","",VLOOKUP(T14,'11. Lists'!$B$47:$D$49,3,FALSE))</f>
        <v/>
      </c>
      <c r="AI14" s="94" t="str">
        <f>IF(D14="","",VLOOKUP(D14,'10. Condition and Temporal'!$B$6:$L$103,4,FALSE))</f>
        <v/>
      </c>
    </row>
    <row r="15" spans="1:35" s="25" customFormat="1" ht="28.8" x14ac:dyDescent="0.3">
      <c r="B15" s="264">
        <v>5</v>
      </c>
      <c r="C15" s="551" t="s">
        <v>223</v>
      </c>
      <c r="D15" s="826"/>
      <c r="E15" s="827"/>
      <c r="F15" s="713"/>
      <c r="G15" s="714"/>
      <c r="H15" s="715"/>
      <c r="I15" s="305"/>
      <c r="J15" s="306"/>
      <c r="K15" s="307"/>
      <c r="L15" s="294" t="str">
        <f t="shared" si="0"/>
        <v/>
      </c>
      <c r="M15" s="301" t="str">
        <f t="shared" si="1"/>
        <v/>
      </c>
      <c r="N15" s="290" t="str">
        <f t="shared" si="2"/>
        <v/>
      </c>
      <c r="O15" s="68"/>
      <c r="P15" s="3"/>
      <c r="R15" s="741"/>
      <c r="T15" s="787" t="str">
        <f>IF(D15="","",VLOOKUP(D15,'9. All Habitats + Multipliers'!$C$4:$K$102,5,FALSE))</f>
        <v/>
      </c>
      <c r="U15" s="788"/>
      <c r="V15" s="344" t="str">
        <f>IF(T15="","",VLOOKUP(T15,'11. Lists'!$S$47:$U$50,2,FALSE))</f>
        <v/>
      </c>
      <c r="W15" s="93" t="str">
        <f>IF(D15="","",VLOOKUP(D15,'10. Condition and Temporal'!$B$6:$C$103,2,FALSE))</f>
        <v/>
      </c>
      <c r="X15" s="94" t="str">
        <f>IF(W15="","",VLOOKUP(W15,'11. Lists'!$F$47:$G$51,2,FALSE))</f>
        <v/>
      </c>
      <c r="Y15" s="48"/>
      <c r="Z15" s="48"/>
      <c r="AA15" s="48"/>
      <c r="AB15" s="184" t="str">
        <f t="shared" si="6"/>
        <v/>
      </c>
      <c r="AC15" s="95" t="str">
        <f>IF(AB15="","",VLOOKUP(AB15,'11. Lists'!$F$36:$H$38,2,FALSE))</f>
        <v/>
      </c>
      <c r="AD15" s="94" t="str">
        <f>IF(AB15="","",VLOOKUP(AB15,'11. Lists'!$F$36:$H$38,3,FALSE))</f>
        <v/>
      </c>
      <c r="AE15" s="298" t="str">
        <f t="shared" si="3"/>
        <v/>
      </c>
      <c r="AF15" s="299" t="str">
        <f t="shared" si="4"/>
        <v/>
      </c>
      <c r="AG15" s="96" t="str">
        <f t="shared" si="5"/>
        <v/>
      </c>
      <c r="AH15" s="93" t="str">
        <f>IF(T15="","",VLOOKUP(T15,'11. Lists'!$B$47:$D$49,3,FALSE))</f>
        <v/>
      </c>
      <c r="AI15" s="94" t="str">
        <f>IF(D15="","",VLOOKUP(D15,'10. Condition and Temporal'!$B$6:$L$103,4,FALSE))</f>
        <v/>
      </c>
    </row>
    <row r="16" spans="1:35" s="25" customFormat="1" ht="28.8" x14ac:dyDescent="0.3">
      <c r="B16" s="264">
        <v>6</v>
      </c>
      <c r="C16" s="551" t="s">
        <v>223</v>
      </c>
      <c r="D16" s="826"/>
      <c r="E16" s="827"/>
      <c r="F16" s="713"/>
      <c r="G16" s="714"/>
      <c r="H16" s="715"/>
      <c r="I16" s="305"/>
      <c r="J16" s="306"/>
      <c r="K16" s="307"/>
      <c r="L16" s="294" t="str">
        <f t="shared" si="0"/>
        <v/>
      </c>
      <c r="M16" s="301" t="str">
        <f t="shared" si="1"/>
        <v/>
      </c>
      <c r="N16" s="290" t="str">
        <f t="shared" si="2"/>
        <v/>
      </c>
      <c r="O16" s="68"/>
      <c r="P16" s="3"/>
      <c r="R16" s="741"/>
      <c r="T16" s="787" t="str">
        <f>IF(D16="","",VLOOKUP(D16,'9. All Habitats + Multipliers'!$C$4:$K$102,5,FALSE))</f>
        <v/>
      </c>
      <c r="U16" s="788"/>
      <c r="V16" s="344" t="str">
        <f>IF(T16="","",VLOOKUP(T16,'11. Lists'!$S$47:$U$50,2,FALSE))</f>
        <v/>
      </c>
      <c r="W16" s="93" t="str">
        <f>IF(D16="","",VLOOKUP(D16,'10. Condition and Temporal'!$B$6:$C$103,2,FALSE))</f>
        <v/>
      </c>
      <c r="X16" s="94" t="str">
        <f>IF(W16="","",VLOOKUP(W16,'11. Lists'!$F$47:$G$51,2,FALSE))</f>
        <v/>
      </c>
      <c r="Y16" s="48"/>
      <c r="Z16" s="48"/>
      <c r="AA16" s="48"/>
      <c r="AB16" s="184" t="str">
        <f t="shared" si="6"/>
        <v/>
      </c>
      <c r="AC16" s="95" t="str">
        <f>IF(AB16="","",VLOOKUP(AB16,'11. Lists'!$F$36:$H$38,2,FALSE))</f>
        <v/>
      </c>
      <c r="AD16" s="94" t="str">
        <f>IF(AB16="","",VLOOKUP(AB16,'11. Lists'!$F$36:$H$38,3,FALSE))</f>
        <v/>
      </c>
      <c r="AE16" s="298" t="str">
        <f t="shared" si="3"/>
        <v/>
      </c>
      <c r="AF16" s="299" t="str">
        <f t="shared" si="4"/>
        <v/>
      </c>
      <c r="AG16" s="96" t="str">
        <f t="shared" si="5"/>
        <v/>
      </c>
      <c r="AH16" s="93" t="str">
        <f>IF(T16="","",VLOOKUP(T16,'11. Lists'!$B$47:$D$49,3,FALSE))</f>
        <v/>
      </c>
      <c r="AI16" s="94" t="str">
        <f>IF(D16="","",VLOOKUP(D16,'10. Condition and Temporal'!$B$6:$L$103,4,FALSE))</f>
        <v/>
      </c>
    </row>
    <row r="17" spans="2:35" s="25" customFormat="1" ht="28.8" x14ac:dyDescent="0.3">
      <c r="B17" s="264">
        <v>7</v>
      </c>
      <c r="C17" s="551" t="s">
        <v>223</v>
      </c>
      <c r="D17" s="826"/>
      <c r="E17" s="827"/>
      <c r="F17" s="713"/>
      <c r="G17" s="714"/>
      <c r="H17" s="715"/>
      <c r="I17" s="305"/>
      <c r="J17" s="306"/>
      <c r="K17" s="307"/>
      <c r="L17" s="294" t="str">
        <f t="shared" si="0"/>
        <v/>
      </c>
      <c r="M17" s="301" t="str">
        <f t="shared" si="1"/>
        <v/>
      </c>
      <c r="N17" s="290" t="str">
        <f t="shared" si="2"/>
        <v/>
      </c>
      <c r="O17" s="68"/>
      <c r="P17" s="3"/>
      <c r="R17" s="741"/>
      <c r="T17" s="787" t="str">
        <f>IF(D17="","",VLOOKUP(D17,'9. All Habitats + Multipliers'!$C$4:$K$102,5,FALSE))</f>
        <v/>
      </c>
      <c r="U17" s="788"/>
      <c r="V17" s="344" t="str">
        <f>IF(T17="","",VLOOKUP(T17,'11. Lists'!$S$47:$U$50,2,FALSE))</f>
        <v/>
      </c>
      <c r="W17" s="93" t="str">
        <f>IF(D17="","",VLOOKUP(D17,'10. Condition and Temporal'!$B$6:$C$103,2,FALSE))</f>
        <v/>
      </c>
      <c r="X17" s="94" t="str">
        <f>IF(W17="","",VLOOKUP(W17,'11. Lists'!$F$47:$G$51,2,FALSE))</f>
        <v/>
      </c>
      <c r="Y17" s="48"/>
      <c r="Z17" s="48"/>
      <c r="AA17" s="48"/>
      <c r="AB17" s="184" t="str">
        <f t="shared" si="6"/>
        <v/>
      </c>
      <c r="AC17" s="95" t="str">
        <f>IF(AB17="","",VLOOKUP(AB17,'11. Lists'!$F$36:$H$38,2,FALSE))</f>
        <v/>
      </c>
      <c r="AD17" s="94" t="str">
        <f>IF(AB17="","",VLOOKUP(AB17,'11. Lists'!$F$36:$H$38,3,FALSE))</f>
        <v/>
      </c>
      <c r="AE17" s="298" t="str">
        <f t="shared" si="3"/>
        <v/>
      </c>
      <c r="AF17" s="299" t="str">
        <f t="shared" si="4"/>
        <v/>
      </c>
      <c r="AG17" s="96" t="str">
        <f t="shared" si="5"/>
        <v/>
      </c>
      <c r="AH17" s="93" t="str">
        <f>IF(T17="","",VLOOKUP(T17,'11. Lists'!$B$47:$D$49,3,FALSE))</f>
        <v/>
      </c>
      <c r="AI17" s="94" t="str">
        <f>IF(D17="","",VLOOKUP(D17,'10. Condition and Temporal'!$B$6:$L$103,4,FALSE))</f>
        <v/>
      </c>
    </row>
    <row r="18" spans="2:35" s="25" customFormat="1" ht="28.8" x14ac:dyDescent="0.3">
      <c r="B18" s="264">
        <v>8</v>
      </c>
      <c r="C18" s="551" t="s">
        <v>223</v>
      </c>
      <c r="D18" s="826"/>
      <c r="E18" s="827"/>
      <c r="F18" s="713"/>
      <c r="G18" s="714"/>
      <c r="H18" s="715"/>
      <c r="I18" s="305"/>
      <c r="J18" s="306"/>
      <c r="K18" s="307"/>
      <c r="L18" s="294" t="str">
        <f t="shared" si="0"/>
        <v/>
      </c>
      <c r="M18" s="301" t="str">
        <f t="shared" si="1"/>
        <v/>
      </c>
      <c r="N18" s="290" t="str">
        <f t="shared" si="2"/>
        <v/>
      </c>
      <c r="O18" s="68"/>
      <c r="P18" s="3"/>
      <c r="R18" s="741"/>
      <c r="T18" s="787" t="str">
        <f>IF(D18="","",VLOOKUP(D18,'9. All Habitats + Multipliers'!$C$4:$K$102,5,FALSE))</f>
        <v/>
      </c>
      <c r="U18" s="788"/>
      <c r="V18" s="344" t="str">
        <f>IF(T18="","",VLOOKUP(T18,'11. Lists'!$S$47:$U$50,2,FALSE))</f>
        <v/>
      </c>
      <c r="W18" s="93" t="str">
        <f>IF(D18="","",VLOOKUP(D18,'10. Condition and Temporal'!$B$6:$C$103,2,FALSE))</f>
        <v/>
      </c>
      <c r="X18" s="94" t="str">
        <f>IF(W18="","",VLOOKUP(W18,'11. Lists'!$F$47:$G$51,2,FALSE))</f>
        <v/>
      </c>
      <c r="Y18" s="48"/>
      <c r="Z18" s="48"/>
      <c r="AA18" s="48"/>
      <c r="AB18" s="184" t="str">
        <f t="shared" si="6"/>
        <v/>
      </c>
      <c r="AC18" s="95" t="str">
        <f>IF(AB18="","",VLOOKUP(AB18,'11. Lists'!$F$36:$H$38,2,FALSE))</f>
        <v/>
      </c>
      <c r="AD18" s="94" t="str">
        <f>IF(AB18="","",VLOOKUP(AB18,'11. Lists'!$F$36:$H$38,3,FALSE))</f>
        <v/>
      </c>
      <c r="AE18" s="298" t="str">
        <f t="shared" si="3"/>
        <v/>
      </c>
      <c r="AF18" s="299" t="str">
        <f t="shared" si="4"/>
        <v/>
      </c>
      <c r="AG18" s="96" t="str">
        <f t="shared" si="5"/>
        <v/>
      </c>
      <c r="AH18" s="93" t="str">
        <f>IF(T18="","",VLOOKUP(T18,'11. Lists'!$B$47:$D$49,3,FALSE))</f>
        <v/>
      </c>
      <c r="AI18" s="94" t="str">
        <f>IF(D18="","",VLOOKUP(D18,'10. Condition and Temporal'!$B$6:$L$103,4,FALSE))</f>
        <v/>
      </c>
    </row>
    <row r="19" spans="2:35" s="25" customFormat="1" ht="28.8" x14ac:dyDescent="0.3">
      <c r="B19" s="264">
        <v>9</v>
      </c>
      <c r="C19" s="551" t="s">
        <v>223</v>
      </c>
      <c r="D19" s="826"/>
      <c r="E19" s="827"/>
      <c r="F19" s="713"/>
      <c r="G19" s="714"/>
      <c r="H19" s="715"/>
      <c r="I19" s="305"/>
      <c r="J19" s="306"/>
      <c r="K19" s="307"/>
      <c r="L19" s="294" t="str">
        <f t="shared" si="0"/>
        <v/>
      </c>
      <c r="M19" s="301" t="str">
        <f t="shared" si="1"/>
        <v/>
      </c>
      <c r="N19" s="290" t="str">
        <f t="shared" si="2"/>
        <v/>
      </c>
      <c r="O19" s="68"/>
      <c r="P19" s="3"/>
      <c r="R19" s="741"/>
      <c r="T19" s="787" t="str">
        <f>IF(D19="","",VLOOKUP(D19,'9. All Habitats + Multipliers'!$C$4:$K$102,5,FALSE))</f>
        <v/>
      </c>
      <c r="U19" s="788"/>
      <c r="V19" s="344" t="str">
        <f>IF(T19="","",VLOOKUP(T19,'11. Lists'!$S$47:$U$50,2,FALSE))</f>
        <v/>
      </c>
      <c r="W19" s="93" t="str">
        <f>IF(D19="","",VLOOKUP(D19,'10. Condition and Temporal'!$B$6:$C$103,2,FALSE))</f>
        <v/>
      </c>
      <c r="X19" s="94" t="str">
        <f>IF(W19="","",VLOOKUP(W19,'11. Lists'!$F$47:$G$51,2,FALSE))</f>
        <v/>
      </c>
      <c r="Y19" s="48"/>
      <c r="Z19" s="48"/>
      <c r="AA19" s="48"/>
      <c r="AB19" s="184" t="str">
        <f t="shared" si="6"/>
        <v/>
      </c>
      <c r="AC19" s="95" t="str">
        <f>IF(AB19="","",VLOOKUP(AB19,'11. Lists'!$F$36:$H$38,2,FALSE))</f>
        <v/>
      </c>
      <c r="AD19" s="94" t="str">
        <f>IF(AB19="","",VLOOKUP(AB19,'11. Lists'!$F$36:$H$38,3,FALSE))</f>
        <v/>
      </c>
      <c r="AE19" s="298" t="str">
        <f t="shared" si="3"/>
        <v/>
      </c>
      <c r="AF19" s="299" t="str">
        <f t="shared" si="4"/>
        <v/>
      </c>
      <c r="AG19" s="96" t="str">
        <f t="shared" si="5"/>
        <v/>
      </c>
      <c r="AH19" s="93" t="str">
        <f>IF(T19="","",VLOOKUP(T19,'11. Lists'!$B$47:$D$49,3,FALSE))</f>
        <v/>
      </c>
      <c r="AI19" s="94" t="str">
        <f>IF(D19="","",VLOOKUP(D19,'10. Condition and Temporal'!$B$6:$L$103,4,FALSE))</f>
        <v/>
      </c>
    </row>
    <row r="20" spans="2:35" s="25" customFormat="1" ht="28.8" x14ac:dyDescent="0.3">
      <c r="B20" s="264">
        <v>10</v>
      </c>
      <c r="C20" s="552" t="s">
        <v>223</v>
      </c>
      <c r="D20" s="826"/>
      <c r="E20" s="827"/>
      <c r="F20" s="713"/>
      <c r="G20" s="714"/>
      <c r="H20" s="715"/>
      <c r="I20" s="305"/>
      <c r="J20" s="306"/>
      <c r="K20" s="307"/>
      <c r="L20" s="294" t="str">
        <f t="shared" si="0"/>
        <v/>
      </c>
      <c r="M20" s="301" t="str">
        <f t="shared" si="1"/>
        <v/>
      </c>
      <c r="N20" s="290" t="str">
        <f t="shared" si="2"/>
        <v/>
      </c>
      <c r="O20" s="69"/>
      <c r="P20" s="8"/>
      <c r="R20" s="741"/>
      <c r="T20" s="787" t="str">
        <f>IF(D20="","",VLOOKUP(D20,'9. All Habitats + Multipliers'!$C$4:$K$102,5,FALSE))</f>
        <v/>
      </c>
      <c r="U20" s="788"/>
      <c r="V20" s="344" t="str">
        <f>IF(T20="","",VLOOKUP(T20,'11. Lists'!$S$47:$U$50,2,FALSE))</f>
        <v/>
      </c>
      <c r="W20" s="93" t="str">
        <f>IF(D20="","",VLOOKUP(D20,'10. Condition and Temporal'!$B$6:$C$103,2,FALSE))</f>
        <v/>
      </c>
      <c r="X20" s="94" t="str">
        <f>IF(W20="","",VLOOKUP(W20,'11. Lists'!$F$47:$G$51,2,FALSE))</f>
        <v/>
      </c>
      <c r="Y20" s="48"/>
      <c r="Z20" s="48"/>
      <c r="AA20" s="48"/>
      <c r="AB20" s="184" t="str">
        <f t="shared" si="6"/>
        <v/>
      </c>
      <c r="AC20" s="95" t="str">
        <f>IF(AB20="","",VLOOKUP(AB20,'11. Lists'!$F$36:$H$38,2,FALSE))</f>
        <v/>
      </c>
      <c r="AD20" s="94" t="str">
        <f>IF(AB20="","",VLOOKUP(AB20,'11. Lists'!$F$36:$H$38,3,FALSE))</f>
        <v/>
      </c>
      <c r="AE20" s="298" t="str">
        <f t="shared" si="3"/>
        <v/>
      </c>
      <c r="AF20" s="299" t="str">
        <f t="shared" si="4"/>
        <v/>
      </c>
      <c r="AG20" s="96" t="str">
        <f t="shared" si="5"/>
        <v/>
      </c>
      <c r="AH20" s="93" t="str">
        <f>IF(T20="","",VLOOKUP(T20,'11. Lists'!$B$47:$D$49,3,FALSE))</f>
        <v/>
      </c>
      <c r="AI20" s="94" t="str">
        <f>IF(D20="","",VLOOKUP(D20,'10. Condition and Temporal'!$B$6:$L$103,4,FALSE))</f>
        <v/>
      </c>
    </row>
    <row r="21" spans="2:35" s="25" customFormat="1" ht="28.8" x14ac:dyDescent="0.3">
      <c r="B21" s="264">
        <v>11</v>
      </c>
      <c r="C21" s="551" t="s">
        <v>223</v>
      </c>
      <c r="D21" s="826"/>
      <c r="E21" s="827"/>
      <c r="F21" s="713"/>
      <c r="G21" s="714"/>
      <c r="H21" s="715"/>
      <c r="I21" s="305"/>
      <c r="J21" s="306"/>
      <c r="K21" s="307"/>
      <c r="L21" s="294" t="str">
        <f t="shared" si="0"/>
        <v/>
      </c>
      <c r="M21" s="301" t="str">
        <f t="shared" si="1"/>
        <v/>
      </c>
      <c r="N21" s="290" t="str">
        <f t="shared" si="2"/>
        <v/>
      </c>
      <c r="O21" s="69"/>
      <c r="P21" s="8"/>
      <c r="R21" s="741"/>
      <c r="T21" s="787" t="str">
        <f>IF(D21="","",VLOOKUP(D21,'9. All Habitats + Multipliers'!$C$4:$K$102,5,FALSE))</f>
        <v/>
      </c>
      <c r="U21" s="788"/>
      <c r="V21" s="344" t="str">
        <f>IF(T21="","",VLOOKUP(T21,'11. Lists'!$S$47:$U$50,2,FALSE))</f>
        <v/>
      </c>
      <c r="W21" s="93" t="str">
        <f>IF(D21="","",VLOOKUP(D21,'10. Condition and Temporal'!$B$6:$C$103,2,FALSE))</f>
        <v/>
      </c>
      <c r="X21" s="94" t="str">
        <f>IF(W21="","",VLOOKUP(W21,'11. Lists'!$F$47:$G$51,2,FALSE))</f>
        <v/>
      </c>
      <c r="Y21" s="48"/>
      <c r="Z21" s="48"/>
      <c r="AA21" s="48"/>
      <c r="AB21" s="184" t="str">
        <f t="shared" si="6"/>
        <v/>
      </c>
      <c r="AC21" s="95" t="str">
        <f>IF(AB21="","",VLOOKUP(AB21,'11. Lists'!$F$36:$H$38,2,FALSE))</f>
        <v/>
      </c>
      <c r="AD21" s="94" t="str">
        <f>IF(AB21="","",VLOOKUP(AB21,'11. Lists'!$F$36:$H$38,3,FALSE))</f>
        <v/>
      </c>
      <c r="AE21" s="298" t="str">
        <f t="shared" si="3"/>
        <v/>
      </c>
      <c r="AF21" s="299" t="str">
        <f t="shared" si="4"/>
        <v/>
      </c>
      <c r="AG21" s="96" t="str">
        <f t="shared" si="5"/>
        <v/>
      </c>
      <c r="AH21" s="93" t="str">
        <f>IF(T21="","",VLOOKUP(T21,'11. Lists'!$B$47:$D$49,3,FALSE))</f>
        <v/>
      </c>
      <c r="AI21" s="94" t="str">
        <f>IF(D21="","",VLOOKUP(D21,'10. Condition and Temporal'!$B$6:$L$103,4,FALSE))</f>
        <v/>
      </c>
    </row>
    <row r="22" spans="2:35" s="25" customFormat="1" ht="28.8" x14ac:dyDescent="0.3">
      <c r="B22" s="264">
        <v>12</v>
      </c>
      <c r="C22" s="551" t="s">
        <v>223</v>
      </c>
      <c r="D22" s="826"/>
      <c r="E22" s="827"/>
      <c r="F22" s="713"/>
      <c r="G22" s="714"/>
      <c r="H22" s="715"/>
      <c r="I22" s="305"/>
      <c r="J22" s="306"/>
      <c r="K22" s="307"/>
      <c r="L22" s="294" t="str">
        <f t="shared" si="0"/>
        <v/>
      </c>
      <c r="M22" s="301" t="str">
        <f t="shared" si="1"/>
        <v/>
      </c>
      <c r="N22" s="290" t="str">
        <f t="shared" si="2"/>
        <v/>
      </c>
      <c r="O22" s="69"/>
      <c r="P22" s="8"/>
      <c r="R22" s="741"/>
      <c r="T22" s="787" t="str">
        <f>IF(D22="","",VLOOKUP(D22,'9. All Habitats + Multipliers'!$C$4:$K$102,5,FALSE))</f>
        <v/>
      </c>
      <c r="U22" s="788"/>
      <c r="V22" s="344" t="str">
        <f>IF(T22="","",VLOOKUP(T22,'11. Lists'!$S$47:$U$50,2,FALSE))</f>
        <v/>
      </c>
      <c r="W22" s="93" t="str">
        <f>IF(D22="","",VLOOKUP(D22,'10. Condition and Temporal'!$B$6:$C$103,2,FALSE))</f>
        <v/>
      </c>
      <c r="X22" s="94" t="str">
        <f>IF(W22="","",VLOOKUP(W22,'11. Lists'!$F$47:$G$51,2,FALSE))</f>
        <v/>
      </c>
      <c r="Y22" s="48"/>
      <c r="Z22" s="48"/>
      <c r="AA22" s="48"/>
      <c r="AB22" s="184" t="str">
        <f t="shared" si="6"/>
        <v/>
      </c>
      <c r="AC22" s="95" t="str">
        <f>IF(AB22="","",VLOOKUP(AB22,'11. Lists'!$F$36:$H$38,2,FALSE))</f>
        <v/>
      </c>
      <c r="AD22" s="94" t="str">
        <f>IF(AB22="","",VLOOKUP(AB22,'11. Lists'!$F$36:$H$38,3,FALSE))</f>
        <v/>
      </c>
      <c r="AE22" s="298" t="str">
        <f t="shared" si="3"/>
        <v/>
      </c>
      <c r="AF22" s="299" t="str">
        <f t="shared" si="4"/>
        <v/>
      </c>
      <c r="AG22" s="96" t="str">
        <f t="shared" si="5"/>
        <v/>
      </c>
      <c r="AH22" s="93" t="str">
        <f>IF(T22="","",VLOOKUP(T22,'11. Lists'!$B$47:$D$49,3,FALSE))</f>
        <v/>
      </c>
      <c r="AI22" s="94" t="str">
        <f>IF(D22="","",VLOOKUP(D22,'10. Condition and Temporal'!$B$6:$L$103,4,FALSE))</f>
        <v/>
      </c>
    </row>
    <row r="23" spans="2:35" s="25" customFormat="1" ht="28.8" x14ac:dyDescent="0.3">
      <c r="B23" s="264">
        <v>13</v>
      </c>
      <c r="C23" s="551" t="s">
        <v>223</v>
      </c>
      <c r="D23" s="826"/>
      <c r="E23" s="827"/>
      <c r="F23" s="713"/>
      <c r="G23" s="714"/>
      <c r="H23" s="715"/>
      <c r="I23" s="305"/>
      <c r="J23" s="306"/>
      <c r="K23" s="307"/>
      <c r="L23" s="294" t="str">
        <f t="shared" si="0"/>
        <v/>
      </c>
      <c r="M23" s="301" t="str">
        <f t="shared" si="1"/>
        <v/>
      </c>
      <c r="N23" s="290" t="str">
        <f t="shared" si="2"/>
        <v/>
      </c>
      <c r="O23" s="69"/>
      <c r="P23" s="8"/>
      <c r="R23" s="741"/>
      <c r="T23" s="787" t="str">
        <f>IF(D23="","",VLOOKUP(D23,'9. All Habitats + Multipliers'!$C$4:$K$102,5,FALSE))</f>
        <v/>
      </c>
      <c r="U23" s="788"/>
      <c r="V23" s="344" t="str">
        <f>IF(T23="","",VLOOKUP(T23,'11. Lists'!$S$47:$U$50,2,FALSE))</f>
        <v/>
      </c>
      <c r="W23" s="93" t="str">
        <f>IF(D23="","",VLOOKUP(D23,'10. Condition and Temporal'!$B$6:$C$103,2,FALSE))</f>
        <v/>
      </c>
      <c r="X23" s="94" t="str">
        <f>IF(W23="","",VLOOKUP(W23,'11. Lists'!$F$47:$G$51,2,FALSE))</f>
        <v/>
      </c>
      <c r="Y23" s="48"/>
      <c r="Z23" s="48"/>
      <c r="AA23" s="48"/>
      <c r="AB23" s="184" t="str">
        <f t="shared" si="6"/>
        <v/>
      </c>
      <c r="AC23" s="95" t="str">
        <f>IF(AB23="","",VLOOKUP(AB23,'11. Lists'!$F$36:$H$38,2,FALSE))</f>
        <v/>
      </c>
      <c r="AD23" s="94" t="str">
        <f>IF(AB23="","",VLOOKUP(AB23,'11. Lists'!$F$36:$H$38,3,FALSE))</f>
        <v/>
      </c>
      <c r="AE23" s="298" t="str">
        <f t="shared" si="3"/>
        <v/>
      </c>
      <c r="AF23" s="299" t="str">
        <f t="shared" si="4"/>
        <v/>
      </c>
      <c r="AG23" s="96" t="str">
        <f t="shared" si="5"/>
        <v/>
      </c>
      <c r="AH23" s="93" t="str">
        <f>IF(T23="","",VLOOKUP(T23,'11. Lists'!$B$47:$D$49,3,FALSE))</f>
        <v/>
      </c>
      <c r="AI23" s="94" t="str">
        <f>IF(D23="","",VLOOKUP(D23,'10. Condition and Temporal'!$B$6:$L$103,4,FALSE))</f>
        <v/>
      </c>
    </row>
    <row r="24" spans="2:35" s="25" customFormat="1" ht="28.8" x14ac:dyDescent="0.3">
      <c r="B24" s="264">
        <v>14</v>
      </c>
      <c r="C24" s="551" t="s">
        <v>223</v>
      </c>
      <c r="D24" s="826"/>
      <c r="E24" s="827"/>
      <c r="F24" s="713"/>
      <c r="G24" s="714"/>
      <c r="H24" s="715"/>
      <c r="I24" s="305"/>
      <c r="J24" s="306"/>
      <c r="K24" s="307"/>
      <c r="L24" s="294" t="str">
        <f t="shared" si="0"/>
        <v/>
      </c>
      <c r="M24" s="301" t="str">
        <f t="shared" si="1"/>
        <v/>
      </c>
      <c r="N24" s="290" t="str">
        <f t="shared" si="2"/>
        <v/>
      </c>
      <c r="O24" s="69"/>
      <c r="P24" s="8"/>
      <c r="R24" s="741"/>
      <c r="T24" s="787" t="str">
        <f>IF(D24="","",VLOOKUP(D24,'9. All Habitats + Multipliers'!$C$4:$K$102,5,FALSE))</f>
        <v/>
      </c>
      <c r="U24" s="788"/>
      <c r="V24" s="344" t="str">
        <f>IF(T24="","",VLOOKUP(T24,'11. Lists'!$S$47:$U$50,2,FALSE))</f>
        <v/>
      </c>
      <c r="W24" s="93" t="str">
        <f>IF(D24="","",VLOOKUP(D24,'10. Condition and Temporal'!$B$6:$C$103,2,FALSE))</f>
        <v/>
      </c>
      <c r="X24" s="94" t="str">
        <f>IF(W24="","",VLOOKUP(W24,'11. Lists'!$F$47:$G$51,2,FALSE))</f>
        <v/>
      </c>
      <c r="Y24" s="48"/>
      <c r="Z24" s="48"/>
      <c r="AA24" s="48"/>
      <c r="AB24" s="184" t="str">
        <f t="shared" si="6"/>
        <v/>
      </c>
      <c r="AC24" s="95" t="str">
        <f>IF(AB24="","",VLOOKUP(AB24,'11. Lists'!$F$36:$H$38,2,FALSE))</f>
        <v/>
      </c>
      <c r="AD24" s="94" t="str">
        <f>IF(AB24="","",VLOOKUP(AB24,'11. Lists'!$F$36:$H$38,3,FALSE))</f>
        <v/>
      </c>
      <c r="AE24" s="298" t="str">
        <f t="shared" si="3"/>
        <v/>
      </c>
      <c r="AF24" s="299" t="str">
        <f t="shared" si="4"/>
        <v/>
      </c>
      <c r="AG24" s="96" t="str">
        <f t="shared" si="5"/>
        <v/>
      </c>
      <c r="AH24" s="93" t="str">
        <f>IF(T24="","",VLOOKUP(T24,'11. Lists'!$B$47:$D$49,3,FALSE))</f>
        <v/>
      </c>
      <c r="AI24" s="94" t="str">
        <f>IF(D24="","",VLOOKUP(D24,'10. Condition and Temporal'!$B$6:$L$103,4,FALSE))</f>
        <v/>
      </c>
    </row>
    <row r="25" spans="2:35" s="25" customFormat="1" ht="28.8" x14ac:dyDescent="0.3">
      <c r="B25" s="264">
        <v>15</v>
      </c>
      <c r="C25" s="551" t="s">
        <v>223</v>
      </c>
      <c r="D25" s="826"/>
      <c r="E25" s="827"/>
      <c r="F25" s="713"/>
      <c r="G25" s="714"/>
      <c r="H25" s="715"/>
      <c r="I25" s="305"/>
      <c r="J25" s="306"/>
      <c r="K25" s="307"/>
      <c r="L25" s="294" t="str">
        <f t="shared" si="0"/>
        <v/>
      </c>
      <c r="M25" s="301" t="str">
        <f t="shared" si="1"/>
        <v/>
      </c>
      <c r="N25" s="290" t="str">
        <f t="shared" si="2"/>
        <v/>
      </c>
      <c r="O25" s="69"/>
      <c r="P25" s="8"/>
      <c r="R25" s="741"/>
      <c r="T25" s="787" t="str">
        <f>IF(D25="","",VLOOKUP(D25,'9. All Habitats + Multipliers'!$C$4:$K$102,5,FALSE))</f>
        <v/>
      </c>
      <c r="U25" s="788"/>
      <c r="V25" s="344" t="str">
        <f>IF(T25="","",VLOOKUP(T25,'11. Lists'!$S$47:$U$50,2,FALSE))</f>
        <v/>
      </c>
      <c r="W25" s="93" t="str">
        <f>IF(D25="","",VLOOKUP(D25,'10. Condition and Temporal'!$B$6:$C$103,2,FALSE))</f>
        <v/>
      </c>
      <c r="X25" s="94" t="str">
        <f>IF(W25="","",VLOOKUP(W25,'11. Lists'!$F$47:$G$51,2,FALSE))</f>
        <v/>
      </c>
      <c r="Y25" s="48"/>
      <c r="Z25" s="48"/>
      <c r="AA25" s="48"/>
      <c r="AB25" s="184" t="str">
        <f t="shared" si="6"/>
        <v/>
      </c>
      <c r="AC25" s="95" t="str">
        <f>IF(AB25="","",VLOOKUP(AB25,'11. Lists'!$F$36:$H$38,2,FALSE))</f>
        <v/>
      </c>
      <c r="AD25" s="94" t="str">
        <f>IF(AB25="","",VLOOKUP(AB25,'11. Lists'!$F$36:$H$38,3,FALSE))</f>
        <v/>
      </c>
      <c r="AE25" s="298" t="str">
        <f t="shared" si="3"/>
        <v/>
      </c>
      <c r="AF25" s="299" t="str">
        <f t="shared" si="4"/>
        <v/>
      </c>
      <c r="AG25" s="96" t="str">
        <f t="shared" si="5"/>
        <v/>
      </c>
      <c r="AH25" s="93" t="str">
        <f>IF(T25="","",VLOOKUP(T25,'11. Lists'!$B$47:$D$49,3,FALSE))</f>
        <v/>
      </c>
      <c r="AI25" s="94" t="str">
        <f>IF(D25="","",VLOOKUP(D25,'10. Condition and Temporal'!$B$6:$L$103,4,FALSE))</f>
        <v/>
      </c>
    </row>
    <row r="26" spans="2:35" s="25" customFormat="1" ht="28.8" x14ac:dyDescent="0.3">
      <c r="B26" s="264">
        <v>16</v>
      </c>
      <c r="C26" s="551" t="s">
        <v>223</v>
      </c>
      <c r="D26" s="826"/>
      <c r="E26" s="827"/>
      <c r="F26" s="713"/>
      <c r="G26" s="714"/>
      <c r="H26" s="715"/>
      <c r="I26" s="305"/>
      <c r="J26" s="306"/>
      <c r="K26" s="307"/>
      <c r="L26" s="294" t="str">
        <f t="shared" si="0"/>
        <v/>
      </c>
      <c r="M26" s="301" t="str">
        <f t="shared" si="1"/>
        <v/>
      </c>
      <c r="N26" s="290" t="str">
        <f t="shared" si="2"/>
        <v/>
      </c>
      <c r="O26" s="69"/>
      <c r="P26" s="8"/>
      <c r="R26" s="741"/>
      <c r="T26" s="787" t="str">
        <f>IF(D26="","",VLOOKUP(D26,'9. All Habitats + Multipliers'!$C$4:$K$102,5,FALSE))</f>
        <v/>
      </c>
      <c r="U26" s="788"/>
      <c r="V26" s="344" t="str">
        <f>IF(T26="","",VLOOKUP(T26,'11. Lists'!$S$47:$U$50,2,FALSE))</f>
        <v/>
      </c>
      <c r="W26" s="93" t="str">
        <f>IF(D26="","",VLOOKUP(D26,'10. Condition and Temporal'!$B$6:$C$103,2,FALSE))</f>
        <v/>
      </c>
      <c r="X26" s="94" t="str">
        <f>IF(W26="","",VLOOKUP(W26,'11. Lists'!$F$47:$G$51,2,FALSE))</f>
        <v/>
      </c>
      <c r="Y26" s="48"/>
      <c r="Z26" s="48"/>
      <c r="AA26" s="48"/>
      <c r="AB26" s="184" t="str">
        <f t="shared" si="6"/>
        <v/>
      </c>
      <c r="AC26" s="95" t="str">
        <f>IF(AB26="","",VLOOKUP(AB26,'11. Lists'!$F$36:$H$38,2,FALSE))</f>
        <v/>
      </c>
      <c r="AD26" s="94" t="str">
        <f>IF(AB26="","",VLOOKUP(AB26,'11. Lists'!$F$36:$H$38,3,FALSE))</f>
        <v/>
      </c>
      <c r="AE26" s="298" t="str">
        <f t="shared" si="3"/>
        <v/>
      </c>
      <c r="AF26" s="299" t="str">
        <f t="shared" si="4"/>
        <v/>
      </c>
      <c r="AG26" s="96" t="str">
        <f t="shared" si="5"/>
        <v/>
      </c>
      <c r="AH26" s="93" t="str">
        <f>IF(T26="","",VLOOKUP(T26,'11. Lists'!$B$47:$D$49,3,FALSE))</f>
        <v/>
      </c>
      <c r="AI26" s="94" t="str">
        <f>IF(D26="","",VLOOKUP(D26,'10. Condition and Temporal'!$B$6:$L$103,4,FALSE))</f>
        <v/>
      </c>
    </row>
    <row r="27" spans="2:35" s="25" customFormat="1" ht="28.8" x14ac:dyDescent="0.3">
      <c r="B27" s="264">
        <v>17</v>
      </c>
      <c r="C27" s="551" t="s">
        <v>223</v>
      </c>
      <c r="D27" s="826"/>
      <c r="E27" s="827"/>
      <c r="F27" s="713"/>
      <c r="G27" s="714"/>
      <c r="H27" s="715"/>
      <c r="I27" s="305"/>
      <c r="J27" s="306"/>
      <c r="K27" s="307"/>
      <c r="L27" s="294" t="str">
        <f t="shared" si="0"/>
        <v/>
      </c>
      <c r="M27" s="301" t="str">
        <f t="shared" si="1"/>
        <v/>
      </c>
      <c r="N27" s="290" t="str">
        <f t="shared" si="2"/>
        <v/>
      </c>
      <c r="O27" s="69"/>
      <c r="P27" s="8"/>
      <c r="R27" s="741"/>
      <c r="T27" s="787" t="str">
        <f>IF(D27="","",VLOOKUP(D27,'9. All Habitats + Multipliers'!$C$4:$K$102,5,FALSE))</f>
        <v/>
      </c>
      <c r="U27" s="788"/>
      <c r="V27" s="344" t="str">
        <f>IF(T27="","",VLOOKUP(T27,'11. Lists'!$S$47:$U$50,2,FALSE))</f>
        <v/>
      </c>
      <c r="W27" s="93" t="str">
        <f>IF(D27="","",VLOOKUP(D27,'10. Condition and Temporal'!$B$6:$C$103,2,FALSE))</f>
        <v/>
      </c>
      <c r="X27" s="94" t="str">
        <f>IF(W27="","",VLOOKUP(W27,'11. Lists'!$F$47:$G$51,2,FALSE))</f>
        <v/>
      </c>
      <c r="Y27" s="48"/>
      <c r="Z27" s="48"/>
      <c r="AA27" s="48"/>
      <c r="AB27" s="184" t="str">
        <f t="shared" si="6"/>
        <v/>
      </c>
      <c r="AC27" s="95" t="str">
        <f>IF(AB27="","",VLOOKUP(AB27,'11. Lists'!$F$36:$H$38,2,FALSE))</f>
        <v/>
      </c>
      <c r="AD27" s="94" t="str">
        <f>IF(AB27="","",VLOOKUP(AB27,'11. Lists'!$F$36:$H$38,3,FALSE))</f>
        <v/>
      </c>
      <c r="AE27" s="298" t="str">
        <f t="shared" si="3"/>
        <v/>
      </c>
      <c r="AF27" s="299" t="str">
        <f t="shared" si="4"/>
        <v/>
      </c>
      <c r="AG27" s="96" t="str">
        <f t="shared" si="5"/>
        <v/>
      </c>
      <c r="AH27" s="93" t="str">
        <f>IF(T27="","",VLOOKUP(T27,'11. Lists'!$B$47:$D$49,3,FALSE))</f>
        <v/>
      </c>
      <c r="AI27" s="94" t="str">
        <f>IF(D27="","",VLOOKUP(D27,'10. Condition and Temporal'!$B$6:$L$103,4,FALSE))</f>
        <v/>
      </c>
    </row>
    <row r="28" spans="2:35" s="25" customFormat="1" ht="28.8" x14ac:dyDescent="0.3">
      <c r="B28" s="264">
        <v>18</v>
      </c>
      <c r="C28" s="551" t="s">
        <v>223</v>
      </c>
      <c r="D28" s="826"/>
      <c r="E28" s="827"/>
      <c r="F28" s="713"/>
      <c r="G28" s="714"/>
      <c r="H28" s="715"/>
      <c r="I28" s="305"/>
      <c r="J28" s="306"/>
      <c r="K28" s="307"/>
      <c r="L28" s="294" t="str">
        <f t="shared" si="0"/>
        <v/>
      </c>
      <c r="M28" s="301" t="str">
        <f t="shared" si="1"/>
        <v/>
      </c>
      <c r="N28" s="290" t="str">
        <f t="shared" si="2"/>
        <v/>
      </c>
      <c r="O28" s="69"/>
      <c r="P28" s="8"/>
      <c r="R28" s="741"/>
      <c r="T28" s="787" t="str">
        <f>IF(D28="","",VLOOKUP(D28,'9. All Habitats + Multipliers'!$C$4:$K$102,5,FALSE))</f>
        <v/>
      </c>
      <c r="U28" s="788"/>
      <c r="V28" s="344" t="str">
        <f>IF(T28="","",VLOOKUP(T28,'11. Lists'!$S$47:$U$50,2,FALSE))</f>
        <v/>
      </c>
      <c r="W28" s="93" t="str">
        <f>IF(D28="","",VLOOKUP(D28,'10. Condition and Temporal'!$B$6:$C$103,2,FALSE))</f>
        <v/>
      </c>
      <c r="X28" s="94" t="str">
        <f>IF(W28="","",VLOOKUP(W28,'11. Lists'!$F$47:$G$51,2,FALSE))</f>
        <v/>
      </c>
      <c r="Y28" s="48"/>
      <c r="Z28" s="48"/>
      <c r="AA28" s="48"/>
      <c r="AB28" s="184" t="str">
        <f t="shared" si="6"/>
        <v/>
      </c>
      <c r="AC28" s="95" t="str">
        <f>IF(AB28="","",VLOOKUP(AB28,'11. Lists'!$F$36:$H$38,2,FALSE))</f>
        <v/>
      </c>
      <c r="AD28" s="94" t="str">
        <f>IF(AB28="","",VLOOKUP(AB28,'11. Lists'!$F$36:$H$38,3,FALSE))</f>
        <v/>
      </c>
      <c r="AE28" s="298" t="str">
        <f t="shared" si="3"/>
        <v/>
      </c>
      <c r="AF28" s="299" t="str">
        <f t="shared" si="4"/>
        <v/>
      </c>
      <c r="AG28" s="96" t="str">
        <f t="shared" si="5"/>
        <v/>
      </c>
      <c r="AH28" s="93" t="str">
        <f>IF(T28="","",VLOOKUP(T28,'11. Lists'!$B$47:$D$49,3,FALSE))</f>
        <v/>
      </c>
      <c r="AI28" s="94" t="str">
        <f>IF(D28="","",VLOOKUP(D28,'10. Condition and Temporal'!$B$6:$L$103,4,FALSE))</f>
        <v/>
      </c>
    </row>
    <row r="29" spans="2:35" s="25" customFormat="1" ht="28.8" x14ac:dyDescent="0.3">
      <c r="B29" s="264">
        <v>19</v>
      </c>
      <c r="C29" s="553" t="s">
        <v>223</v>
      </c>
      <c r="D29" s="826"/>
      <c r="E29" s="827"/>
      <c r="F29" s="713"/>
      <c r="G29" s="714"/>
      <c r="H29" s="715"/>
      <c r="I29" s="305"/>
      <c r="J29" s="306"/>
      <c r="K29" s="307"/>
      <c r="L29" s="294" t="str">
        <f t="shared" si="0"/>
        <v/>
      </c>
      <c r="M29" s="301" t="str">
        <f t="shared" si="1"/>
        <v/>
      </c>
      <c r="N29" s="290" t="str">
        <f t="shared" si="2"/>
        <v/>
      </c>
      <c r="O29" s="69"/>
      <c r="P29" s="8"/>
      <c r="R29" s="741"/>
      <c r="T29" s="787" t="str">
        <f>IF(D29="","",VLOOKUP(D29,'9. All Habitats + Multipliers'!$C$4:$K$102,5,FALSE))</f>
        <v/>
      </c>
      <c r="U29" s="788"/>
      <c r="V29" s="344" t="str">
        <f>IF(T29="","",VLOOKUP(T29,'11. Lists'!$S$47:$U$50,2,FALSE))</f>
        <v/>
      </c>
      <c r="W29" s="93" t="str">
        <f>IF(D29="","",VLOOKUP(D29,'10. Condition and Temporal'!$B$6:$C$103,2,FALSE))</f>
        <v/>
      </c>
      <c r="X29" s="94" t="str">
        <f>IF(W29="","",VLOOKUP(W29,'11. Lists'!$F$47:$G$51,2,FALSE))</f>
        <v/>
      </c>
      <c r="Y29" s="48"/>
      <c r="Z29" s="48"/>
      <c r="AA29" s="48"/>
      <c r="AB29" s="184" t="str">
        <f t="shared" si="6"/>
        <v/>
      </c>
      <c r="AC29" s="95" t="str">
        <f>IF(AB29="","",VLOOKUP(AB29,'11. Lists'!$F$36:$H$38,2,FALSE))</f>
        <v/>
      </c>
      <c r="AD29" s="94" t="str">
        <f>IF(AB29="","",VLOOKUP(AB29,'11. Lists'!$F$36:$H$38,3,FALSE))</f>
        <v/>
      </c>
      <c r="AE29" s="298" t="str">
        <f t="shared" si="3"/>
        <v/>
      </c>
      <c r="AF29" s="299" t="str">
        <f t="shared" si="4"/>
        <v/>
      </c>
      <c r="AG29" s="96" t="str">
        <f t="shared" si="5"/>
        <v/>
      </c>
      <c r="AH29" s="93" t="str">
        <f>IF(T29="","",VLOOKUP(T29,'11. Lists'!$B$47:$D$49,3,FALSE))</f>
        <v/>
      </c>
      <c r="AI29" s="94" t="str">
        <f>IF(D29="","",VLOOKUP(D29,'10. Condition and Temporal'!$B$6:$L$103,4,FALSE))</f>
        <v/>
      </c>
    </row>
    <row r="30" spans="2:35" s="25" customFormat="1" ht="29.4" thickBot="1" x14ac:dyDescent="0.35">
      <c r="B30" s="265">
        <v>20</v>
      </c>
      <c r="C30" s="554" t="s">
        <v>223</v>
      </c>
      <c r="D30" s="854"/>
      <c r="E30" s="855"/>
      <c r="F30" s="887"/>
      <c r="G30" s="888"/>
      <c r="H30" s="889"/>
      <c r="I30" s="308"/>
      <c r="J30" s="309"/>
      <c r="K30" s="310"/>
      <c r="L30" s="292" t="str">
        <f t="shared" si="0"/>
        <v/>
      </c>
      <c r="M30" s="315" t="str">
        <f t="shared" si="1"/>
        <v/>
      </c>
      <c r="N30" s="293" t="str">
        <f t="shared" si="2"/>
        <v/>
      </c>
      <c r="O30" s="70"/>
      <c r="P30" s="4"/>
      <c r="R30" s="741"/>
      <c r="T30" s="787" t="str">
        <f>IF(D30="","",VLOOKUP(D30,'9. All Habitats + Multipliers'!$C$4:$K$102,5,FALSE))</f>
        <v/>
      </c>
      <c r="U30" s="788"/>
      <c r="V30" s="344" t="str">
        <f>IF(T30="","",VLOOKUP(T30,'11. Lists'!$S$47:$U$50,2,FALSE))</f>
        <v/>
      </c>
      <c r="W30" s="98" t="str">
        <f>IF(D30="","",VLOOKUP(D30,'10. Condition and Temporal'!$B$6:$C$103,2,FALSE))</f>
        <v/>
      </c>
      <c r="X30" s="99" t="str">
        <f>IF(W30="","",VLOOKUP(W30,'11. Lists'!$F$47:$G$51,2,FALSE))</f>
        <v/>
      </c>
      <c r="Y30" s="48"/>
      <c r="Z30" s="48"/>
      <c r="AA30" s="48"/>
      <c r="AB30" s="184" t="str">
        <f t="shared" si="6"/>
        <v/>
      </c>
      <c r="AC30" s="95" t="str">
        <f>IF(AB30="","",VLOOKUP(AB30,'11. Lists'!$F$36:$H$38,2,FALSE))</f>
        <v/>
      </c>
      <c r="AD30" s="94" t="str">
        <f>IF(AB30="","",VLOOKUP(AB30,'11. Lists'!$F$36:$H$38,3,FALSE))</f>
        <v/>
      </c>
      <c r="AE30" s="298" t="str">
        <f t="shared" si="3"/>
        <v/>
      </c>
      <c r="AF30" s="299" t="str">
        <f t="shared" si="4"/>
        <v/>
      </c>
      <c r="AG30" s="96" t="str">
        <f t="shared" si="5"/>
        <v/>
      </c>
      <c r="AH30" s="93" t="str">
        <f>IF(T30="","",VLOOKUP(T30,'11. Lists'!$B$47:$D$49,3,FALSE))</f>
        <v/>
      </c>
      <c r="AI30" s="94" t="str">
        <f>IF(D30="","",VLOOKUP(D30,'10. Condition and Temporal'!$B$6:$L$103,4,FALSE))</f>
        <v/>
      </c>
    </row>
    <row r="31" spans="2:35" s="25" customFormat="1" x14ac:dyDescent="0.3">
      <c r="D31" s="89"/>
      <c r="E31" s="103"/>
      <c r="F31" s="103"/>
      <c r="G31" s="103"/>
      <c r="H31" s="271" t="s">
        <v>224</v>
      </c>
      <c r="I31" s="311">
        <f t="shared" ref="I31:N31" si="7">SUM(I11:I30)</f>
        <v>65</v>
      </c>
      <c r="J31" s="312">
        <f t="shared" si="7"/>
        <v>65</v>
      </c>
      <c r="K31" s="313">
        <f t="shared" si="7"/>
        <v>0</v>
      </c>
      <c r="L31" s="279">
        <f t="shared" si="7"/>
        <v>0.26</v>
      </c>
      <c r="M31" s="319">
        <f t="shared" si="7"/>
        <v>0</v>
      </c>
      <c r="N31" s="280">
        <f t="shared" si="7"/>
        <v>0</v>
      </c>
      <c r="R31" s="741"/>
    </row>
    <row r="32" spans="2:35" s="25" customFormat="1" x14ac:dyDescent="0.3">
      <c r="D32" s="89"/>
      <c r="E32" s="103"/>
      <c r="F32" s="103"/>
      <c r="G32" s="103"/>
      <c r="H32" s="289" t="s">
        <v>94</v>
      </c>
      <c r="I32" s="898" t="str">
        <f>IF(I31&lt;J31+K31,"Error - Lengths Retained and Enhanced Exceed Total Length ▲","Lengths Acceptable ✓")</f>
        <v>Lengths Acceptable ✓</v>
      </c>
      <c r="J32" s="898"/>
      <c r="K32" s="898"/>
      <c r="L32" s="898"/>
      <c r="M32" s="898"/>
      <c r="N32" s="899"/>
      <c r="O32" s="157">
        <f>IFERROR(FIND("Error",I32),0)</f>
        <v>0</v>
      </c>
      <c r="R32" s="104"/>
    </row>
    <row r="33" spans="2:34" s="25" customFormat="1" ht="15" thickBot="1" x14ac:dyDescent="0.35">
      <c r="D33" s="89"/>
      <c r="E33" s="103"/>
      <c r="F33" s="103"/>
      <c r="G33" s="103"/>
      <c r="H33" s="272" t="s">
        <v>95</v>
      </c>
      <c r="I33" s="866" t="str">
        <f>IF(I31&lt;5000,"Lengths Acceptable ✓",IF(I31&gt;=5000,"Length Exceeds Length Appropriate for Small Sites Metric ▲"))</f>
        <v>Lengths Acceptable ✓</v>
      </c>
      <c r="J33" s="866"/>
      <c r="K33" s="866"/>
      <c r="L33" s="866"/>
      <c r="M33" s="866"/>
      <c r="N33" s="867"/>
      <c r="O33" s="157">
        <f>COUNTIF(L11:N30,"*"&amp;"error"&amp;"*")</f>
        <v>0</v>
      </c>
      <c r="R33" s="104"/>
    </row>
    <row r="34" spans="2:34" s="25" customFormat="1" x14ac:dyDescent="0.3">
      <c r="D34" s="89"/>
      <c r="E34" s="103"/>
      <c r="F34" s="103"/>
      <c r="G34" s="103"/>
      <c r="H34" s="103"/>
      <c r="I34" s="103"/>
      <c r="J34" s="103"/>
      <c r="K34" s="103"/>
      <c r="L34" s="103"/>
      <c r="M34" s="103"/>
      <c r="N34" s="103"/>
      <c r="O34" s="103"/>
      <c r="R34" s="741" t="s">
        <v>52</v>
      </c>
    </row>
    <row r="35" spans="2:34" s="25" customFormat="1" ht="21" x14ac:dyDescent="0.4">
      <c r="B35" s="57" t="s">
        <v>97</v>
      </c>
      <c r="D35" s="88"/>
      <c r="E35" s="103"/>
      <c r="F35" s="103"/>
      <c r="G35" s="103"/>
      <c r="I35" s="26"/>
      <c r="R35" s="741"/>
    </row>
    <row r="36" spans="2:34" s="25" customFormat="1" ht="15.75" customHeight="1" thickBot="1" x14ac:dyDescent="0.35">
      <c r="R36" s="741"/>
    </row>
    <row r="37" spans="2:34" s="25" customFormat="1" ht="16.2" customHeight="1" x14ac:dyDescent="0.3">
      <c r="B37" s="719" t="s">
        <v>46</v>
      </c>
      <c r="C37" s="718"/>
      <c r="D37" s="768"/>
      <c r="E37" s="708" t="s">
        <v>98</v>
      </c>
      <c r="F37" s="709"/>
      <c r="G37" s="710"/>
      <c r="H37" s="709" t="s">
        <v>99</v>
      </c>
      <c r="I37" s="654" t="s">
        <v>225</v>
      </c>
      <c r="J37" s="782"/>
      <c r="K37" s="655"/>
      <c r="L37" s="708" t="s">
        <v>226</v>
      </c>
      <c r="M37" s="718"/>
      <c r="N37" s="710"/>
      <c r="O37" s="767" t="s">
        <v>65</v>
      </c>
      <c r="P37" s="710"/>
      <c r="R37" s="741"/>
      <c r="T37" s="684" t="s">
        <v>66</v>
      </c>
      <c r="U37" s="685"/>
      <c r="V37" s="876"/>
      <c r="W37" s="684" t="s">
        <v>67</v>
      </c>
      <c r="X37" s="686"/>
      <c r="Y37" s="800"/>
      <c r="Z37" s="800"/>
      <c r="AA37" s="800"/>
      <c r="AB37" s="799" t="s">
        <v>68</v>
      </c>
      <c r="AC37" s="685"/>
      <c r="AD37" s="686"/>
      <c r="AE37" s="684" t="s">
        <v>102</v>
      </c>
      <c r="AF37" s="686"/>
      <c r="AG37" s="684" t="s">
        <v>103</v>
      </c>
      <c r="AH37" s="686"/>
    </row>
    <row r="38" spans="2:34" s="25" customFormat="1" ht="31.8" thickBot="1" x14ac:dyDescent="0.35">
      <c r="B38" s="667"/>
      <c r="C38" s="197" t="s">
        <v>72</v>
      </c>
      <c r="D38" s="198" t="s">
        <v>104</v>
      </c>
      <c r="E38" s="86" t="s">
        <v>105</v>
      </c>
      <c r="F38" s="670" t="s">
        <v>106</v>
      </c>
      <c r="G38" s="679"/>
      <c r="H38" s="668"/>
      <c r="I38" s="656"/>
      <c r="J38" s="783"/>
      <c r="K38" s="657"/>
      <c r="L38" s="895"/>
      <c r="M38" s="896"/>
      <c r="N38" s="897"/>
      <c r="O38" s="196" t="s">
        <v>80</v>
      </c>
      <c r="P38" s="90" t="s">
        <v>81</v>
      </c>
      <c r="R38" s="741"/>
      <c r="T38" s="785" t="s">
        <v>82</v>
      </c>
      <c r="U38" s="786"/>
      <c r="V38" s="341" t="s">
        <v>83</v>
      </c>
      <c r="W38" s="91" t="s">
        <v>84</v>
      </c>
      <c r="X38" s="92" t="s">
        <v>83</v>
      </c>
      <c r="Y38" s="346"/>
      <c r="Z38" s="346"/>
      <c r="AA38" s="346"/>
      <c r="AB38" s="334" t="s">
        <v>68</v>
      </c>
      <c r="AC38" s="49" t="s">
        <v>68</v>
      </c>
      <c r="AD38" s="92" t="s">
        <v>85</v>
      </c>
      <c r="AE38" s="91" t="s">
        <v>107</v>
      </c>
      <c r="AF38" s="92" t="s">
        <v>108</v>
      </c>
      <c r="AG38" s="91" t="s">
        <v>109</v>
      </c>
      <c r="AH38" s="92" t="s">
        <v>110</v>
      </c>
    </row>
    <row r="39" spans="2:34" s="25" customFormat="1" ht="28.8" x14ac:dyDescent="0.3">
      <c r="B39" s="263">
        <v>1</v>
      </c>
      <c r="C39" s="551" t="s">
        <v>223</v>
      </c>
      <c r="D39" s="73" t="s">
        <v>236</v>
      </c>
      <c r="E39" s="105" t="str">
        <f>IF(D39="","",VLOOKUP(D39,'10. Condition and Temporal'!$B$6:$D$103,3,FALSE))</f>
        <v>Moderate, Good</v>
      </c>
      <c r="F39" s="900" t="s">
        <v>383</v>
      </c>
      <c r="G39" s="901"/>
      <c r="H39" s="72" t="s">
        <v>112</v>
      </c>
      <c r="I39" s="724">
        <v>10</v>
      </c>
      <c r="J39" s="725"/>
      <c r="K39" s="725"/>
      <c r="L39" s="902">
        <f>IF(D39="","",IFERROR(IF(I39="","",((I39/1000)*(V39*X39))*(AH39*AF39)*AD39),"This intervention is not permitted within the SSM ▲"))</f>
        <v>3.9127221641999999E-2</v>
      </c>
      <c r="M39" s="903"/>
      <c r="N39" s="904"/>
      <c r="O39" s="210"/>
      <c r="P39" s="1"/>
      <c r="Q39" s="106"/>
      <c r="R39" s="741"/>
      <c r="T39" s="787" t="str">
        <f>IF(D39="","",VLOOKUP(D39,'9. All Habitats + Multipliers'!$C$4:$K$102,5,FALSE))</f>
        <v>Low</v>
      </c>
      <c r="U39" s="788"/>
      <c r="V39" s="344">
        <f>IF(T39="","",VLOOKUP(T39,'11. Lists'!$S$47:$U$50,2,FALSE))</f>
        <v>2</v>
      </c>
      <c r="W39" s="93" t="str">
        <f>IF(F39="","",F39)</f>
        <v>Good</v>
      </c>
      <c r="X39" s="94">
        <f>IF(W39="","",VLOOKUP(W39,'11. Lists'!$F$47:$G$51,2,FALSE))</f>
        <v>3</v>
      </c>
      <c r="Y39" s="48"/>
      <c r="Z39" s="48"/>
      <c r="AA39" s="48"/>
      <c r="AB39" s="184" t="str">
        <f>IF(H39="","",H39)</f>
        <v>Area/compensation not in local strategy/ no local strategy</v>
      </c>
      <c r="AC39" s="95" t="str">
        <f>IF(AB39="","",VLOOKUP(AB39,'11. Lists'!$F$36:$H$38,2,FALSE))</f>
        <v>Low Strategic Significance</v>
      </c>
      <c r="AD39" s="94">
        <f>IF(AB39="","",VLOOKUP(AB39,'11. Lists'!$F$36:$H$38,3,FALSE))</f>
        <v>1</v>
      </c>
      <c r="AE39" s="93">
        <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f>
        <v>12</v>
      </c>
      <c r="AF39" s="107">
        <f>IF(AE39="","",VLOOKUP(AE39,'11. Lists'!$I$47:$K$80,3,FALSE))</f>
        <v>0.65212036070000001</v>
      </c>
      <c r="AG39" s="93" t="str">
        <f>IF(D39="","",VLOOKUP(D39,'9. All Habitats + Multipliers'!$C$4:$K$102,7,FALSE))</f>
        <v>Low</v>
      </c>
      <c r="AH39" s="94">
        <f>IF(AG39="","",VLOOKUP(AG39,'11. Lists'!$J$35:$K$38,2,FALSE))</f>
        <v>1</v>
      </c>
    </row>
    <row r="40" spans="2:34" s="25" customFormat="1" ht="28.8" x14ac:dyDescent="0.3">
      <c r="B40" s="264">
        <v>2</v>
      </c>
      <c r="C40" s="551" t="s">
        <v>223</v>
      </c>
      <c r="D40" s="73"/>
      <c r="E40" s="105" t="str">
        <f>IF(D40="","",VLOOKUP(D40,'10. Condition and Temporal'!$B$6:$D$103,3,FALSE))</f>
        <v/>
      </c>
      <c r="F40" s="890"/>
      <c r="G40" s="891"/>
      <c r="H40" s="71"/>
      <c r="I40" s="724"/>
      <c r="J40" s="725"/>
      <c r="K40" s="725"/>
      <c r="L40" s="892" t="str">
        <f t="shared" ref="L40:L58" si="8">IF(D40="","",IFERROR(IF(I40="","",((I40/1000)*(V40*X40))*(AH40*AF40)*AD40),"This intervention is not permitted within the SSM ▲"))</f>
        <v/>
      </c>
      <c r="M40" s="893"/>
      <c r="N40" s="894"/>
      <c r="O40" s="74"/>
      <c r="P40" s="12"/>
      <c r="Q40" s="106"/>
      <c r="R40" s="741"/>
      <c r="T40" s="787" t="str">
        <f>IF(D40="","",VLOOKUP(D40,'9. All Habitats + Multipliers'!$C$4:$K$102,5,FALSE))</f>
        <v/>
      </c>
      <c r="U40" s="788"/>
      <c r="V40" s="344" t="str">
        <f>IF(T40="","",VLOOKUP(T40,'11. Lists'!$S$47:$U$50,2,FALSE))</f>
        <v/>
      </c>
      <c r="W40" s="93" t="str">
        <f>IF(F40="","",F40)</f>
        <v/>
      </c>
      <c r="X40" s="94" t="str">
        <f>IF(W40="","",VLOOKUP(W40,'11. Lists'!$F$47:$G$51,2,FALSE))</f>
        <v/>
      </c>
      <c r="Y40" s="48"/>
      <c r="Z40" s="48"/>
      <c r="AA40" s="48"/>
      <c r="AB40" s="184" t="str">
        <f t="shared" ref="AB40:AB58" si="9">IF(H40="","",H40)</f>
        <v/>
      </c>
      <c r="AC40" s="95" t="str">
        <f>IF(AB40="","",VLOOKUP(AB40,'11. Lists'!$F$36:$H$38,2,FALSE))</f>
        <v/>
      </c>
      <c r="AD40" s="94" t="str">
        <f>IF(AB40="","",VLOOKUP(AB40,'11. Lists'!$F$36:$H$38,3,FALSE))</f>
        <v/>
      </c>
      <c r="AE40" s="93" t="str">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
      </c>
      <c r="AF40" s="107" t="str">
        <f>IF(AE40="","",VLOOKUP(AE40,'11. Lists'!$I$47:$K$80,3,FALSE))</f>
        <v/>
      </c>
      <c r="AG40" s="93" t="str">
        <f>IF(D40="","",VLOOKUP(D40,'9. All Habitats + Multipliers'!$C$4:$K$102,7,FALSE))</f>
        <v/>
      </c>
      <c r="AH40" s="94" t="str">
        <f>IF(AG40="","",VLOOKUP(AG40,'11. Lists'!$J$35:$K$38,2,FALSE))</f>
        <v/>
      </c>
    </row>
    <row r="41" spans="2:34" s="25" customFormat="1" ht="28.8" x14ac:dyDescent="0.3">
      <c r="B41" s="264">
        <v>3</v>
      </c>
      <c r="C41" s="551" t="s">
        <v>223</v>
      </c>
      <c r="D41" s="73"/>
      <c r="E41" s="105" t="str">
        <f>IF(D41="","",VLOOKUP(D41,'10. Condition and Temporal'!$B$6:$D$103,3,FALSE))</f>
        <v/>
      </c>
      <c r="F41" s="890"/>
      <c r="G41" s="891"/>
      <c r="H41" s="71"/>
      <c r="I41" s="724"/>
      <c r="J41" s="725"/>
      <c r="K41" s="725"/>
      <c r="L41" s="892" t="str">
        <f t="shared" si="8"/>
        <v/>
      </c>
      <c r="M41" s="893"/>
      <c r="N41" s="894"/>
      <c r="O41" s="74"/>
      <c r="P41" s="12"/>
      <c r="Q41" s="106"/>
      <c r="R41" s="741"/>
      <c r="T41" s="787" t="str">
        <f>IF(D41="","",VLOOKUP(D41,'9. All Habitats + Multipliers'!$C$4:$K$102,5,FALSE))</f>
        <v/>
      </c>
      <c r="U41" s="788"/>
      <c r="V41" s="344" t="str">
        <f>IF(T41="","",VLOOKUP(T41,'11. Lists'!$S$47:$U$50,2,FALSE))</f>
        <v/>
      </c>
      <c r="W41" s="93" t="str">
        <f>IF(F41="","",F41)</f>
        <v/>
      </c>
      <c r="X41" s="94" t="str">
        <f>IF(W41="","",VLOOKUP(W41,'11. Lists'!$F$47:$G$51,2,FALSE))</f>
        <v/>
      </c>
      <c r="Y41" s="48"/>
      <c r="Z41" s="48"/>
      <c r="AA41" s="48"/>
      <c r="AB41" s="184" t="str">
        <f t="shared" si="9"/>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row>
    <row r="42" spans="2:34" s="25" customFormat="1" ht="28.8" x14ac:dyDescent="0.3">
      <c r="B42" s="264">
        <v>4</v>
      </c>
      <c r="C42" s="551" t="s">
        <v>223</v>
      </c>
      <c r="D42" s="73"/>
      <c r="E42" s="105" t="str">
        <f>IF(D42="","",VLOOKUP(D42,'10. Condition and Temporal'!$B$6:$D$103,3,FALSE))</f>
        <v/>
      </c>
      <c r="F42" s="890"/>
      <c r="G42" s="891"/>
      <c r="H42" s="71"/>
      <c r="I42" s="724"/>
      <c r="J42" s="725"/>
      <c r="K42" s="725"/>
      <c r="L42" s="892" t="str">
        <f t="shared" si="8"/>
        <v/>
      </c>
      <c r="M42" s="893"/>
      <c r="N42" s="894"/>
      <c r="O42" s="74"/>
      <c r="P42" s="12"/>
      <c r="Q42" s="106"/>
      <c r="R42" s="741"/>
      <c r="T42" s="787" t="str">
        <f>IF(D42="","",VLOOKUP(D42,'9. All Habitats + Multipliers'!$C$4:$K$102,5,FALSE))</f>
        <v/>
      </c>
      <c r="U42" s="788"/>
      <c r="V42" s="344" t="str">
        <f>IF(T42="","",VLOOKUP(T42,'11. Lists'!$S$47:$U$50,2,FALSE))</f>
        <v/>
      </c>
      <c r="W42" s="93" t="str">
        <f>IF(F42="","",F42)</f>
        <v/>
      </c>
      <c r="X42" s="94" t="str">
        <f>IF(W42="","",VLOOKUP(W42,'11. Lists'!$F$47:$G$51,2,FALSE))</f>
        <v/>
      </c>
      <c r="Y42" s="48"/>
      <c r="Z42" s="48"/>
      <c r="AA42" s="48"/>
      <c r="AB42" s="184" t="str">
        <f t="shared" si="9"/>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row>
    <row r="43" spans="2:34" s="25" customFormat="1" ht="28.8" x14ac:dyDescent="0.3">
      <c r="B43" s="264">
        <v>5</v>
      </c>
      <c r="C43" s="551" t="s">
        <v>223</v>
      </c>
      <c r="D43" s="73"/>
      <c r="E43" s="105" t="str">
        <f>IF(D43="","",VLOOKUP(D43,'10. Condition and Temporal'!$B$6:$D$103,3,FALSE))</f>
        <v/>
      </c>
      <c r="F43" s="890"/>
      <c r="G43" s="891"/>
      <c r="H43" s="71"/>
      <c r="I43" s="724"/>
      <c r="J43" s="725"/>
      <c r="K43" s="725"/>
      <c r="L43" s="892" t="str">
        <f t="shared" si="8"/>
        <v/>
      </c>
      <c r="M43" s="893"/>
      <c r="N43" s="894"/>
      <c r="O43" s="74"/>
      <c r="P43" s="12"/>
      <c r="R43" s="741"/>
      <c r="T43" s="787" t="str">
        <f>IF(D43="","",VLOOKUP(D43,'9. All Habitats + Multipliers'!$C$4:$K$102,5,FALSE))</f>
        <v/>
      </c>
      <c r="U43" s="788"/>
      <c r="V43" s="344" t="str">
        <f>IF(T43="","",VLOOKUP(T43,'11. Lists'!$S$47:$U$50,2,FALSE))</f>
        <v/>
      </c>
      <c r="W43" s="93" t="str">
        <f t="shared" ref="W43:W58" si="10">IF(F43="","",F43)</f>
        <v/>
      </c>
      <c r="X43" s="94" t="str">
        <f>IF(W43="","",VLOOKUP(W43,'11. Lists'!$F$47:$G$51,2,FALSE))</f>
        <v/>
      </c>
      <c r="Y43" s="48"/>
      <c r="Z43" s="48"/>
      <c r="AA43" s="48"/>
      <c r="AB43" s="184" t="str">
        <f t="shared" si="9"/>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row>
    <row r="44" spans="2:34" s="25" customFormat="1" ht="28.8" x14ac:dyDescent="0.3">
      <c r="B44" s="264">
        <v>6</v>
      </c>
      <c r="C44" s="551" t="s">
        <v>223</v>
      </c>
      <c r="D44" s="73"/>
      <c r="E44" s="105" t="str">
        <f>IF(D44="","",VLOOKUP(D44,'10. Condition and Temporal'!$B$6:$D$103,3,FALSE))</f>
        <v/>
      </c>
      <c r="F44" s="890"/>
      <c r="G44" s="891"/>
      <c r="H44" s="71"/>
      <c r="I44" s="724"/>
      <c r="J44" s="725"/>
      <c r="K44" s="725"/>
      <c r="L44" s="892" t="str">
        <f t="shared" si="8"/>
        <v/>
      </c>
      <c r="M44" s="893"/>
      <c r="N44" s="894"/>
      <c r="O44" s="74"/>
      <c r="P44" s="12"/>
      <c r="R44" s="741"/>
      <c r="T44" s="787" t="str">
        <f>IF(D44="","",VLOOKUP(D44,'9. All Habitats + Multipliers'!$C$4:$K$102,5,FALSE))</f>
        <v/>
      </c>
      <c r="U44" s="788"/>
      <c r="V44" s="344" t="str">
        <f>IF(T44="","",VLOOKUP(T44,'11. Lists'!$S$47:$U$50,2,FALSE))</f>
        <v/>
      </c>
      <c r="W44" s="93" t="str">
        <f t="shared" si="10"/>
        <v/>
      </c>
      <c r="X44" s="94" t="str">
        <f>IF(W44="","",VLOOKUP(W44,'11. Lists'!$F$47:$G$51,2,FALSE))</f>
        <v/>
      </c>
      <c r="Y44" s="48"/>
      <c r="Z44" s="48"/>
      <c r="AA44" s="48"/>
      <c r="AB44" s="184" t="str">
        <f t="shared" si="9"/>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row>
    <row r="45" spans="2:34" s="25" customFormat="1" ht="28.8" x14ac:dyDescent="0.3">
      <c r="B45" s="264">
        <v>7</v>
      </c>
      <c r="C45" s="551" t="s">
        <v>223</v>
      </c>
      <c r="D45" s="73"/>
      <c r="E45" s="105" t="str">
        <f>IF(D45="","",VLOOKUP(D45,'10. Condition and Temporal'!$B$6:$D$103,3,FALSE))</f>
        <v/>
      </c>
      <c r="F45" s="890"/>
      <c r="G45" s="891"/>
      <c r="H45" s="71"/>
      <c r="I45" s="724"/>
      <c r="J45" s="725"/>
      <c r="K45" s="725"/>
      <c r="L45" s="892" t="str">
        <f t="shared" si="8"/>
        <v/>
      </c>
      <c r="M45" s="893"/>
      <c r="N45" s="894"/>
      <c r="O45" s="74"/>
      <c r="P45" s="12"/>
      <c r="R45" s="741"/>
      <c r="T45" s="787" t="str">
        <f>IF(D45="","",VLOOKUP(D45,'9. All Habitats + Multipliers'!$C$4:$K$102,5,FALSE))</f>
        <v/>
      </c>
      <c r="U45" s="788"/>
      <c r="V45" s="344" t="str">
        <f>IF(T45="","",VLOOKUP(T45,'11. Lists'!$S$47:$U$50,2,FALSE))</f>
        <v/>
      </c>
      <c r="W45" s="93" t="str">
        <f t="shared" si="10"/>
        <v/>
      </c>
      <c r="X45" s="94" t="str">
        <f>IF(W45="","",VLOOKUP(W45,'11. Lists'!$F$47:$G$51,2,FALSE))</f>
        <v/>
      </c>
      <c r="Y45" s="48"/>
      <c r="Z45" s="48"/>
      <c r="AA45" s="48"/>
      <c r="AB45" s="184" t="str">
        <f t="shared" si="9"/>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row>
    <row r="46" spans="2:34" s="25" customFormat="1" ht="28.8" x14ac:dyDescent="0.3">
      <c r="B46" s="264">
        <v>8</v>
      </c>
      <c r="C46" s="551" t="s">
        <v>223</v>
      </c>
      <c r="D46" s="73"/>
      <c r="E46" s="105" t="str">
        <f>IF(D46="","",VLOOKUP(D46,'10. Condition and Temporal'!$B$6:$D$103,3,FALSE))</f>
        <v/>
      </c>
      <c r="F46" s="890"/>
      <c r="G46" s="891"/>
      <c r="H46" s="71"/>
      <c r="I46" s="724"/>
      <c r="J46" s="725"/>
      <c r="K46" s="725"/>
      <c r="L46" s="892" t="str">
        <f t="shared" si="8"/>
        <v/>
      </c>
      <c r="M46" s="893"/>
      <c r="N46" s="894"/>
      <c r="O46" s="74"/>
      <c r="P46" s="12"/>
      <c r="R46" s="741"/>
      <c r="T46" s="787" t="str">
        <f>IF(D46="","",VLOOKUP(D46,'9. All Habitats + Multipliers'!$C$4:$K$102,5,FALSE))</f>
        <v/>
      </c>
      <c r="U46" s="788"/>
      <c r="V46" s="344" t="str">
        <f>IF(T46="","",VLOOKUP(T46,'11. Lists'!$S$47:$U$50,2,FALSE))</f>
        <v/>
      </c>
      <c r="W46" s="93" t="str">
        <f t="shared" si="10"/>
        <v/>
      </c>
      <c r="X46" s="94" t="str">
        <f>IF(W46="","",VLOOKUP(W46,'11. Lists'!$F$47:$G$51,2,FALSE))</f>
        <v/>
      </c>
      <c r="Y46" s="48"/>
      <c r="Z46" s="48"/>
      <c r="AA46" s="48"/>
      <c r="AB46" s="184" t="str">
        <f t="shared" si="9"/>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row>
    <row r="47" spans="2:34" s="25" customFormat="1" ht="28.8" x14ac:dyDescent="0.3">
      <c r="B47" s="264">
        <v>9</v>
      </c>
      <c r="C47" s="551" t="s">
        <v>223</v>
      </c>
      <c r="D47" s="73"/>
      <c r="E47" s="105" t="str">
        <f>IF(D47="","",VLOOKUP(D47,'10. Condition and Temporal'!$B$6:$D$103,3,FALSE))</f>
        <v/>
      </c>
      <c r="F47" s="890"/>
      <c r="G47" s="891"/>
      <c r="H47" s="71"/>
      <c r="I47" s="724"/>
      <c r="J47" s="725"/>
      <c r="K47" s="725"/>
      <c r="L47" s="892" t="str">
        <f t="shared" si="8"/>
        <v/>
      </c>
      <c r="M47" s="893"/>
      <c r="N47" s="894"/>
      <c r="O47" s="74"/>
      <c r="P47" s="12"/>
      <c r="R47" s="741"/>
      <c r="T47" s="787" t="str">
        <f>IF(D47="","",VLOOKUP(D47,'9. All Habitats + Multipliers'!$C$4:$K$102,5,FALSE))</f>
        <v/>
      </c>
      <c r="U47" s="788"/>
      <c r="V47" s="344" t="str">
        <f>IF(T47="","",VLOOKUP(T47,'11. Lists'!$S$47:$U$50,2,FALSE))</f>
        <v/>
      </c>
      <c r="W47" s="93" t="str">
        <f t="shared" si="10"/>
        <v/>
      </c>
      <c r="X47" s="94" t="str">
        <f>IF(W47="","",VLOOKUP(W47,'11. Lists'!$F$47:$G$51,2,FALSE))</f>
        <v/>
      </c>
      <c r="Y47" s="48"/>
      <c r="Z47" s="48"/>
      <c r="AA47" s="48"/>
      <c r="AB47" s="184" t="str">
        <f t="shared" si="9"/>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row>
    <row r="48" spans="2:34" s="25" customFormat="1" ht="28.8" x14ac:dyDescent="0.3">
      <c r="B48" s="264">
        <v>10</v>
      </c>
      <c r="C48" s="552" t="s">
        <v>223</v>
      </c>
      <c r="D48" s="73"/>
      <c r="E48" s="105" t="str">
        <f>IF(D48="","",VLOOKUP(D48,'10. Condition and Temporal'!$B$6:$D$103,3,FALSE))</f>
        <v/>
      </c>
      <c r="F48" s="890"/>
      <c r="G48" s="891"/>
      <c r="H48" s="71"/>
      <c r="I48" s="724"/>
      <c r="J48" s="725"/>
      <c r="K48" s="725"/>
      <c r="L48" s="892" t="str">
        <f t="shared" si="8"/>
        <v/>
      </c>
      <c r="M48" s="893"/>
      <c r="N48" s="894"/>
      <c r="O48" s="74"/>
      <c r="P48" s="12"/>
      <c r="R48" s="741"/>
      <c r="T48" s="787" t="str">
        <f>IF(D48="","",VLOOKUP(D48,'9. All Habitats + Multipliers'!$C$4:$K$102,5,FALSE))</f>
        <v/>
      </c>
      <c r="U48" s="788"/>
      <c r="V48" s="344" t="str">
        <f>IF(T48="","",VLOOKUP(T48,'11. Lists'!$S$47:$U$50,2,FALSE))</f>
        <v/>
      </c>
      <c r="W48" s="93" t="str">
        <f t="shared" si="10"/>
        <v/>
      </c>
      <c r="X48" s="94" t="str">
        <f>IF(W48="","",VLOOKUP(W48,'11. Lists'!$F$47:$G$51,2,FALSE))</f>
        <v/>
      </c>
      <c r="Y48" s="48"/>
      <c r="Z48" s="48"/>
      <c r="AA48" s="48"/>
      <c r="AB48" s="184" t="str">
        <f t="shared" si="9"/>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row>
    <row r="49" spans="1:73" s="25" customFormat="1" ht="28.8" x14ac:dyDescent="0.3">
      <c r="B49" s="264">
        <v>11</v>
      </c>
      <c r="C49" s="551" t="s">
        <v>223</v>
      </c>
      <c r="D49" s="73"/>
      <c r="E49" s="105" t="str">
        <f>IF(D49="","",VLOOKUP(D49,'10. Condition and Temporal'!$B$6:$D$103,3,FALSE))</f>
        <v/>
      </c>
      <c r="F49" s="890"/>
      <c r="G49" s="891"/>
      <c r="H49" s="71"/>
      <c r="I49" s="724"/>
      <c r="J49" s="725"/>
      <c r="K49" s="725"/>
      <c r="L49" s="892" t="str">
        <f t="shared" si="8"/>
        <v/>
      </c>
      <c r="M49" s="893"/>
      <c r="N49" s="894"/>
      <c r="O49" s="74"/>
      <c r="P49" s="12"/>
      <c r="R49" s="741"/>
      <c r="T49" s="787" t="str">
        <f>IF(D49="","",VLOOKUP(D49,'9. All Habitats + Multipliers'!$C$4:$K$102,5,FALSE))</f>
        <v/>
      </c>
      <c r="U49" s="788"/>
      <c r="V49" s="344" t="str">
        <f>IF(T49="","",VLOOKUP(T49,'11. Lists'!$S$47:$U$50,2,FALSE))</f>
        <v/>
      </c>
      <c r="W49" s="93" t="str">
        <f t="shared" si="10"/>
        <v/>
      </c>
      <c r="X49" s="94" t="str">
        <f>IF(W49="","",VLOOKUP(W49,'11. Lists'!$F$47:$G$51,2,FALSE))</f>
        <v/>
      </c>
      <c r="Y49" s="48"/>
      <c r="Z49" s="48"/>
      <c r="AA49" s="48"/>
      <c r="AB49" s="184" t="str">
        <f t="shared" si="9"/>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row>
    <row r="50" spans="1:73" s="25" customFormat="1" ht="28.8" x14ac:dyDescent="0.3">
      <c r="B50" s="264">
        <v>12</v>
      </c>
      <c r="C50" s="551" t="s">
        <v>223</v>
      </c>
      <c r="D50" s="73"/>
      <c r="E50" s="105" t="str">
        <f>IF(D50="","",VLOOKUP(D50,'10. Condition and Temporal'!$B$6:$D$103,3,FALSE))</f>
        <v/>
      </c>
      <c r="F50" s="890"/>
      <c r="G50" s="891"/>
      <c r="H50" s="71"/>
      <c r="I50" s="724"/>
      <c r="J50" s="725"/>
      <c r="K50" s="725"/>
      <c r="L50" s="892" t="str">
        <f t="shared" si="8"/>
        <v/>
      </c>
      <c r="M50" s="893"/>
      <c r="N50" s="894"/>
      <c r="O50" s="74"/>
      <c r="P50" s="12"/>
      <c r="R50" s="741"/>
      <c r="T50" s="787" t="str">
        <f>IF(D50="","",VLOOKUP(D50,'9. All Habitats + Multipliers'!$C$4:$K$102,5,FALSE))</f>
        <v/>
      </c>
      <c r="U50" s="788"/>
      <c r="V50" s="344" t="str">
        <f>IF(T50="","",VLOOKUP(T50,'11. Lists'!$S$47:$U$50,2,FALSE))</f>
        <v/>
      </c>
      <c r="W50" s="93" t="str">
        <f t="shared" si="10"/>
        <v/>
      </c>
      <c r="X50" s="94" t="str">
        <f>IF(W50="","",VLOOKUP(W50,'11. Lists'!$F$47:$G$51,2,FALSE))</f>
        <v/>
      </c>
      <c r="Y50" s="48"/>
      <c r="Z50" s="48"/>
      <c r="AA50" s="48"/>
      <c r="AB50" s="184" t="str">
        <f t="shared" si="9"/>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row>
    <row r="51" spans="1:73" s="25" customFormat="1" ht="28.8" x14ac:dyDescent="0.3">
      <c r="B51" s="264">
        <v>13</v>
      </c>
      <c r="C51" s="551" t="s">
        <v>223</v>
      </c>
      <c r="D51" s="73"/>
      <c r="E51" s="105" t="str">
        <f>IF(D51="","",VLOOKUP(D51,'10. Condition and Temporal'!$B$6:$D$103,3,FALSE))</f>
        <v/>
      </c>
      <c r="F51" s="890"/>
      <c r="G51" s="891"/>
      <c r="H51" s="71"/>
      <c r="I51" s="724"/>
      <c r="J51" s="725"/>
      <c r="K51" s="725"/>
      <c r="L51" s="892" t="str">
        <f t="shared" si="8"/>
        <v/>
      </c>
      <c r="M51" s="893"/>
      <c r="N51" s="894"/>
      <c r="O51" s="74"/>
      <c r="P51" s="12"/>
      <c r="R51" s="741"/>
      <c r="T51" s="787" t="str">
        <f>IF(D51="","",VLOOKUP(D51,'9. All Habitats + Multipliers'!$C$4:$K$102,5,FALSE))</f>
        <v/>
      </c>
      <c r="U51" s="788"/>
      <c r="V51" s="344" t="str">
        <f>IF(T51="","",VLOOKUP(T51,'11. Lists'!$S$47:$U$50,2,FALSE))</f>
        <v/>
      </c>
      <c r="W51" s="93" t="str">
        <f t="shared" si="10"/>
        <v/>
      </c>
      <c r="X51" s="94" t="str">
        <f>IF(W51="","",VLOOKUP(W51,'11. Lists'!$F$47:$G$51,2,FALSE))</f>
        <v/>
      </c>
      <c r="Y51" s="48"/>
      <c r="Z51" s="48"/>
      <c r="AA51" s="48"/>
      <c r="AB51" s="184" t="str">
        <f t="shared" si="9"/>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row>
    <row r="52" spans="1:73" s="25" customFormat="1" ht="28.8" x14ac:dyDescent="0.3">
      <c r="B52" s="264">
        <v>14</v>
      </c>
      <c r="C52" s="551" t="s">
        <v>223</v>
      </c>
      <c r="D52" s="73"/>
      <c r="E52" s="105" t="str">
        <f>IF(D52="","",VLOOKUP(D52,'10. Condition and Temporal'!$B$6:$D$103,3,FALSE))</f>
        <v/>
      </c>
      <c r="F52" s="890"/>
      <c r="G52" s="891"/>
      <c r="H52" s="71"/>
      <c r="I52" s="724"/>
      <c r="J52" s="725"/>
      <c r="K52" s="725"/>
      <c r="L52" s="892" t="str">
        <f t="shared" si="8"/>
        <v/>
      </c>
      <c r="M52" s="893"/>
      <c r="N52" s="894"/>
      <c r="O52" s="74"/>
      <c r="P52" s="12"/>
      <c r="R52" s="741"/>
      <c r="T52" s="787" t="str">
        <f>IF(D52="","",VLOOKUP(D52,'9. All Habitats + Multipliers'!$C$4:$K$102,5,FALSE))</f>
        <v/>
      </c>
      <c r="U52" s="788"/>
      <c r="V52" s="344" t="str">
        <f>IF(T52="","",VLOOKUP(T52,'11. Lists'!$S$47:$U$50,2,FALSE))</f>
        <v/>
      </c>
      <c r="W52" s="93" t="str">
        <f t="shared" si="10"/>
        <v/>
      </c>
      <c r="X52" s="94" t="str">
        <f>IF(W52="","",VLOOKUP(W52,'11. Lists'!$F$47:$G$51,2,FALSE))</f>
        <v/>
      </c>
      <c r="Y52" s="48"/>
      <c r="Z52" s="48"/>
      <c r="AA52" s="48"/>
      <c r="AB52" s="184" t="str">
        <f t="shared" si="9"/>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row>
    <row r="53" spans="1:73" s="25" customFormat="1" ht="28.8" x14ac:dyDescent="0.3">
      <c r="B53" s="264">
        <v>15</v>
      </c>
      <c r="C53" s="551" t="s">
        <v>223</v>
      </c>
      <c r="D53" s="73"/>
      <c r="E53" s="105" t="str">
        <f>IF(D53="","",VLOOKUP(D53,'10. Condition and Temporal'!$B$6:$D$103,3,FALSE))</f>
        <v/>
      </c>
      <c r="F53" s="890"/>
      <c r="G53" s="891"/>
      <c r="H53" s="71"/>
      <c r="I53" s="724"/>
      <c r="J53" s="725"/>
      <c r="K53" s="725"/>
      <c r="L53" s="892" t="str">
        <f t="shared" si="8"/>
        <v/>
      </c>
      <c r="M53" s="893"/>
      <c r="N53" s="894"/>
      <c r="O53" s="74"/>
      <c r="P53" s="12"/>
      <c r="R53" s="741"/>
      <c r="T53" s="787" t="str">
        <f>IF(D53="","",VLOOKUP(D53,'9. All Habitats + Multipliers'!$C$4:$K$102,5,FALSE))</f>
        <v/>
      </c>
      <c r="U53" s="788"/>
      <c r="V53" s="344" t="str">
        <f>IF(T53="","",VLOOKUP(T53,'11. Lists'!$S$47:$U$50,2,FALSE))</f>
        <v/>
      </c>
      <c r="W53" s="93" t="str">
        <f t="shared" si="10"/>
        <v/>
      </c>
      <c r="X53" s="94" t="str">
        <f>IF(W53="","",VLOOKUP(W53,'11. Lists'!$F$47:$G$51,2,FALSE))</f>
        <v/>
      </c>
      <c r="Y53" s="48"/>
      <c r="Z53" s="48"/>
      <c r="AA53" s="48"/>
      <c r="AB53" s="184" t="str">
        <f t="shared" si="9"/>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row>
    <row r="54" spans="1:73" s="25" customFormat="1" ht="28.8" x14ac:dyDescent="0.3">
      <c r="B54" s="264">
        <v>16</v>
      </c>
      <c r="C54" s="551" t="s">
        <v>223</v>
      </c>
      <c r="D54" s="73"/>
      <c r="E54" s="105" t="str">
        <f>IF(D54="","",VLOOKUP(D54,'10. Condition and Temporal'!$B$6:$D$103,3,FALSE))</f>
        <v/>
      </c>
      <c r="F54" s="890"/>
      <c r="G54" s="891"/>
      <c r="H54" s="71"/>
      <c r="I54" s="724"/>
      <c r="J54" s="725"/>
      <c r="K54" s="725"/>
      <c r="L54" s="892" t="str">
        <f t="shared" si="8"/>
        <v/>
      </c>
      <c r="M54" s="893"/>
      <c r="N54" s="894"/>
      <c r="O54" s="74"/>
      <c r="P54" s="12"/>
      <c r="R54" s="741"/>
      <c r="T54" s="787" t="str">
        <f>IF(D54="","",VLOOKUP(D54,'9. All Habitats + Multipliers'!$C$4:$K$102,5,FALSE))</f>
        <v/>
      </c>
      <c r="U54" s="788"/>
      <c r="V54" s="344" t="str">
        <f>IF(T54="","",VLOOKUP(T54,'11. Lists'!$S$47:$U$50,2,FALSE))</f>
        <v/>
      </c>
      <c r="W54" s="93" t="str">
        <f t="shared" si="10"/>
        <v/>
      </c>
      <c r="X54" s="94" t="str">
        <f>IF(W54="","",VLOOKUP(W54,'11. Lists'!$F$47:$G$51,2,FALSE))</f>
        <v/>
      </c>
      <c r="Y54" s="48"/>
      <c r="Z54" s="48"/>
      <c r="AA54" s="48"/>
      <c r="AB54" s="184" t="str">
        <f t="shared" si="9"/>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row>
    <row r="55" spans="1:73" s="25" customFormat="1" ht="28.8" x14ac:dyDescent="0.3">
      <c r="B55" s="264">
        <v>17</v>
      </c>
      <c r="C55" s="551" t="s">
        <v>223</v>
      </c>
      <c r="D55" s="73"/>
      <c r="E55" s="105" t="str">
        <f>IF(D55="","",VLOOKUP(D55,'10. Condition and Temporal'!$B$6:$D$103,3,FALSE))</f>
        <v/>
      </c>
      <c r="F55" s="890"/>
      <c r="G55" s="891"/>
      <c r="H55" s="71"/>
      <c r="I55" s="724"/>
      <c r="J55" s="725"/>
      <c r="K55" s="725"/>
      <c r="L55" s="892" t="str">
        <f t="shared" si="8"/>
        <v/>
      </c>
      <c r="M55" s="893"/>
      <c r="N55" s="894"/>
      <c r="O55" s="74"/>
      <c r="P55" s="12"/>
      <c r="R55" s="741"/>
      <c r="T55" s="787" t="str">
        <f>IF(D55="","",VLOOKUP(D55,'9. All Habitats + Multipliers'!$C$4:$K$102,5,FALSE))</f>
        <v/>
      </c>
      <c r="U55" s="788"/>
      <c r="V55" s="344" t="str">
        <f>IF(T55="","",VLOOKUP(T55,'11. Lists'!$S$47:$U$50,2,FALSE))</f>
        <v/>
      </c>
      <c r="W55" s="93" t="str">
        <f t="shared" si="10"/>
        <v/>
      </c>
      <c r="X55" s="94" t="str">
        <f>IF(W55="","",VLOOKUP(W55,'11. Lists'!$F$47:$G$51,2,FALSE))</f>
        <v/>
      </c>
      <c r="Y55" s="48"/>
      <c r="Z55" s="48"/>
      <c r="AA55" s="48"/>
      <c r="AB55" s="184" t="str">
        <f t="shared" si="9"/>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row>
    <row r="56" spans="1:73" s="25" customFormat="1" ht="28.8" x14ac:dyDescent="0.3">
      <c r="B56" s="264">
        <v>18</v>
      </c>
      <c r="C56" s="551" t="s">
        <v>223</v>
      </c>
      <c r="D56" s="73"/>
      <c r="E56" s="105" t="str">
        <f>IF(D56="","",VLOOKUP(D56,'10. Condition and Temporal'!$B$6:$D$103,3,FALSE))</f>
        <v/>
      </c>
      <c r="F56" s="890"/>
      <c r="G56" s="891"/>
      <c r="H56" s="71"/>
      <c r="I56" s="724"/>
      <c r="J56" s="725"/>
      <c r="K56" s="725"/>
      <c r="L56" s="892" t="str">
        <f t="shared" si="8"/>
        <v/>
      </c>
      <c r="M56" s="893"/>
      <c r="N56" s="894"/>
      <c r="O56" s="74"/>
      <c r="P56" s="12"/>
      <c r="R56" s="741"/>
      <c r="T56" s="787" t="str">
        <f>IF(D56="","",VLOOKUP(D56,'9. All Habitats + Multipliers'!$C$4:$K$102,5,FALSE))</f>
        <v/>
      </c>
      <c r="U56" s="788"/>
      <c r="V56" s="344" t="str">
        <f>IF(T56="","",VLOOKUP(T56,'11. Lists'!$S$47:$U$50,2,FALSE))</f>
        <v/>
      </c>
      <c r="W56" s="93" t="str">
        <f t="shared" si="10"/>
        <v/>
      </c>
      <c r="X56" s="94" t="str">
        <f>IF(W56="","",VLOOKUP(W56,'11. Lists'!$F$47:$G$51,2,FALSE))</f>
        <v/>
      </c>
      <c r="Y56" s="48"/>
      <c r="Z56" s="48"/>
      <c r="AA56" s="48"/>
      <c r="AB56" s="184" t="str">
        <f t="shared" si="9"/>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row>
    <row r="57" spans="1:73" s="25" customFormat="1" ht="28.8" x14ac:dyDescent="0.3">
      <c r="B57" s="264">
        <v>19</v>
      </c>
      <c r="C57" s="553" t="s">
        <v>223</v>
      </c>
      <c r="D57" s="73"/>
      <c r="E57" s="105" t="str">
        <f>IF(D57="","",VLOOKUP(D57,'10. Condition and Temporal'!$B$6:$D$103,3,FALSE))</f>
        <v/>
      </c>
      <c r="F57" s="890"/>
      <c r="G57" s="891"/>
      <c r="H57" s="71"/>
      <c r="I57" s="724"/>
      <c r="J57" s="725"/>
      <c r="K57" s="725"/>
      <c r="L57" s="892" t="str">
        <f t="shared" si="8"/>
        <v/>
      </c>
      <c r="M57" s="893"/>
      <c r="N57" s="894"/>
      <c r="O57" s="74"/>
      <c r="P57" s="12"/>
      <c r="R57" s="741"/>
      <c r="T57" s="787" t="str">
        <f>IF(D57="","",VLOOKUP(D57,'9. All Habitats + Multipliers'!$C$4:$K$102,5,FALSE))</f>
        <v/>
      </c>
      <c r="U57" s="788"/>
      <c r="V57" s="344" t="str">
        <f>IF(T57="","",VLOOKUP(T57,'11. Lists'!$S$47:$U$50,2,FALSE))</f>
        <v/>
      </c>
      <c r="W57" s="93" t="str">
        <f t="shared" si="10"/>
        <v/>
      </c>
      <c r="X57" s="94" t="str">
        <f>IF(W57="","",VLOOKUP(W57,'11. Lists'!$F$47:$G$51,2,FALSE))</f>
        <v/>
      </c>
      <c r="Y57" s="48"/>
      <c r="Z57" s="48"/>
      <c r="AA57" s="48"/>
      <c r="AB57" s="184" t="str">
        <f t="shared" si="9"/>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row>
    <row r="58" spans="1:73" s="25" customFormat="1" ht="29.4" thickBot="1" x14ac:dyDescent="0.35">
      <c r="B58" s="265">
        <v>20</v>
      </c>
      <c r="C58" s="554" t="s">
        <v>223</v>
      </c>
      <c r="D58" s="135"/>
      <c r="E58" s="136" t="str">
        <f>IF(D58="","",VLOOKUP(D58,'10. Condition and Temporal'!$B$6:$D$103,3,FALSE))</f>
        <v/>
      </c>
      <c r="F58" s="905"/>
      <c r="G58" s="906"/>
      <c r="H58" s="79"/>
      <c r="I58" s="907"/>
      <c r="J58" s="908"/>
      <c r="K58" s="908"/>
      <c r="L58" s="909" t="str">
        <f t="shared" si="8"/>
        <v/>
      </c>
      <c r="M58" s="910"/>
      <c r="N58" s="911"/>
      <c r="O58" s="75"/>
      <c r="P58" s="14"/>
      <c r="R58" s="741"/>
      <c r="T58" s="787" t="str">
        <f>IF(D58="","",VLOOKUP(D58,'9. All Habitats + Multipliers'!$C$4:$K$102,5,FALSE))</f>
        <v/>
      </c>
      <c r="U58" s="788"/>
      <c r="V58" s="344" t="str">
        <f>IF(T58="","",VLOOKUP(T58,'11. Lists'!$S$47:$U$50,2,FALSE))</f>
        <v/>
      </c>
      <c r="W58" s="98" t="str">
        <f t="shared" si="10"/>
        <v/>
      </c>
      <c r="X58" s="99" t="str">
        <f>IF(W58="","",VLOOKUP(W58,'11. Lists'!$F$47:$G$51,2,FALSE))</f>
        <v/>
      </c>
      <c r="Y58" s="48"/>
      <c r="Z58" s="48"/>
      <c r="AA58" s="48"/>
      <c r="AB58" s="184" t="str">
        <f t="shared" si="9"/>
        <v/>
      </c>
      <c r="AC58" s="95" t="str">
        <f>IF(AB58="","",VLOOKUP(AB58,'11. Lists'!$F$36:$H$38,2,FALSE))</f>
        <v/>
      </c>
      <c r="AD58" s="94" t="str">
        <f>IF(AB58="","",VLOOKUP(AB58,'11. Lists'!$F$36:$H$38,3,FALSE))</f>
        <v/>
      </c>
      <c r="AE58" s="93"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07" t="str">
        <f>IF(AE58="","",VLOOKUP(AE58,'11. Lists'!$I$47:$K$80,3,FALSE))</f>
        <v/>
      </c>
      <c r="AG58" s="93" t="str">
        <f>IF(D58="","",VLOOKUP(D58,'9. All Habitats + Multipliers'!$C$4:$K$102,7,FALSE))</f>
        <v/>
      </c>
      <c r="AH58" s="94" t="str">
        <f>IF(AG58="","",VLOOKUP(AG58,'11. Lists'!$J$35:$K$38,2,FALSE))</f>
        <v/>
      </c>
    </row>
    <row r="59" spans="1:73" s="25" customFormat="1" ht="15" thickBot="1" x14ac:dyDescent="0.35">
      <c r="H59" s="269" t="s">
        <v>224</v>
      </c>
      <c r="I59" s="735">
        <f>SUM(I39:K58)</f>
        <v>10</v>
      </c>
      <c r="J59" s="736"/>
      <c r="K59" s="737"/>
      <c r="L59" s="870">
        <f>SUM(L39:N58)</f>
        <v>3.9127221641999999E-2</v>
      </c>
      <c r="M59" s="871"/>
      <c r="N59" s="872"/>
      <c r="R59" s="741"/>
    </row>
    <row r="60" spans="1:73" s="25" customFormat="1" ht="15" thickBot="1" x14ac:dyDescent="0.35">
      <c r="H60" s="272" t="s">
        <v>94</v>
      </c>
      <c r="I60" s="866" t="str">
        <f>IF(I59&lt;5000,"Lengths Acceptable ✓",IF(I59&gt;=5000,"Length Exceeds Length Appropriate for Small Sites Metric ▲"))</f>
        <v>Lengths Acceptable ✓</v>
      </c>
      <c r="J60" s="866"/>
      <c r="K60" s="866"/>
      <c r="L60" s="866"/>
      <c r="M60" s="866"/>
      <c r="N60" s="867"/>
      <c r="R60" s="741"/>
    </row>
    <row r="61" spans="1:73" s="25" customFormat="1" x14ac:dyDescent="0.3">
      <c r="R61" s="741"/>
      <c r="BA61" s="50" t="s">
        <v>114</v>
      </c>
    </row>
    <row r="62" spans="1:73" s="25" customFormat="1" ht="21" x14ac:dyDescent="0.4">
      <c r="B62" s="57" t="s">
        <v>115</v>
      </c>
      <c r="D62" s="88"/>
      <c r="H62" s="26"/>
      <c r="R62" s="741"/>
      <c r="BA62" s="50" t="s">
        <v>116</v>
      </c>
    </row>
    <row r="63" spans="1:73" s="25" customFormat="1" ht="15" thickBot="1" x14ac:dyDescent="0.35">
      <c r="A63" s="912"/>
      <c r="R63" s="741"/>
    </row>
    <row r="64" spans="1:73" s="25" customFormat="1" ht="16.2" customHeight="1" thickBot="1" x14ac:dyDescent="0.35">
      <c r="A64" s="912"/>
      <c r="B64" s="833" t="s">
        <v>117</v>
      </c>
      <c r="C64" s="684" t="s">
        <v>118</v>
      </c>
      <c r="D64" s="686"/>
      <c r="E64" s="708" t="s">
        <v>119</v>
      </c>
      <c r="F64" s="718"/>
      <c r="G64" s="710"/>
      <c r="H64" s="727" t="s">
        <v>120</v>
      </c>
      <c r="I64" s="727" t="s">
        <v>227</v>
      </c>
      <c r="J64" s="729" t="s">
        <v>122</v>
      </c>
      <c r="K64" s="730"/>
      <c r="L64" s="799" t="s">
        <v>123</v>
      </c>
      <c r="M64" s="685" t="s">
        <v>124</v>
      </c>
      <c r="N64" s="686"/>
      <c r="O64" s="819" t="s">
        <v>65</v>
      </c>
      <c r="P64" s="687"/>
      <c r="R64" s="741"/>
      <c r="T64" s="847" t="s">
        <v>125</v>
      </c>
      <c r="U64" s="848"/>
      <c r="V64" s="848"/>
      <c r="W64" s="848"/>
      <c r="X64" s="848"/>
      <c r="Y64" s="848"/>
      <c r="Z64" s="848"/>
      <c r="AA64" s="848"/>
      <c r="AB64" s="848"/>
      <c r="AC64" s="848"/>
      <c r="AD64" s="849"/>
      <c r="AE64" s="727" t="s">
        <v>126</v>
      </c>
      <c r="AF64" s="847" t="s">
        <v>127</v>
      </c>
      <c r="AG64" s="848"/>
      <c r="AH64" s="848"/>
      <c r="AI64" s="848"/>
      <c r="AJ64" s="869"/>
      <c r="AK64" s="869"/>
      <c r="AL64" s="869"/>
      <c r="AM64" s="869"/>
      <c r="AN64" s="869"/>
      <c r="AO64" s="848"/>
      <c r="AP64" s="849"/>
      <c r="AQ64" s="850" t="s">
        <v>128</v>
      </c>
      <c r="AR64" s="847" t="s">
        <v>127</v>
      </c>
      <c r="AS64" s="848"/>
      <c r="AT64" s="848"/>
      <c r="AU64" s="848"/>
      <c r="AV64" s="848"/>
      <c r="AW64" s="848"/>
      <c r="AX64" s="849"/>
      <c r="BA64" s="154" t="s">
        <v>129</v>
      </c>
      <c r="BB64" s="185">
        <f>COUNTIF(BB66:BB85,"?*")</f>
        <v>0</v>
      </c>
      <c r="BC64" s="185">
        <f t="shared" ref="BC64:BU64" si="11">COUNTIF(BC66:BC85,"?*")</f>
        <v>0</v>
      </c>
      <c r="BD64" s="185">
        <f t="shared" si="11"/>
        <v>0</v>
      </c>
      <c r="BE64" s="185">
        <f t="shared" si="11"/>
        <v>0</v>
      </c>
      <c r="BF64" s="185">
        <f t="shared" si="11"/>
        <v>0</v>
      </c>
      <c r="BG64" s="185">
        <f t="shared" si="11"/>
        <v>0</v>
      </c>
      <c r="BH64" s="185">
        <f t="shared" si="11"/>
        <v>0</v>
      </c>
      <c r="BI64" s="185">
        <f t="shared" si="11"/>
        <v>0</v>
      </c>
      <c r="BJ64" s="185">
        <f t="shared" si="11"/>
        <v>0</v>
      </c>
      <c r="BK64" s="185">
        <f t="shared" si="11"/>
        <v>0</v>
      </c>
      <c r="BL64" s="185">
        <f t="shared" si="11"/>
        <v>0</v>
      </c>
      <c r="BM64" s="185">
        <f t="shared" si="11"/>
        <v>0</v>
      </c>
      <c r="BN64" s="185">
        <f t="shared" si="11"/>
        <v>0</v>
      </c>
      <c r="BO64" s="185">
        <f t="shared" si="11"/>
        <v>0</v>
      </c>
      <c r="BP64" s="185">
        <f t="shared" si="11"/>
        <v>0</v>
      </c>
      <c r="BQ64" s="185">
        <f t="shared" si="11"/>
        <v>0</v>
      </c>
      <c r="BR64" s="185">
        <f t="shared" si="11"/>
        <v>0</v>
      </c>
      <c r="BS64" s="185">
        <f t="shared" si="11"/>
        <v>0</v>
      </c>
      <c r="BT64" s="185">
        <f t="shared" si="11"/>
        <v>0</v>
      </c>
      <c r="BU64" s="185">
        <f t="shared" si="11"/>
        <v>0</v>
      </c>
    </row>
    <row r="65" spans="1:76" s="25" customFormat="1" ht="41.55" customHeight="1" thickBot="1" x14ac:dyDescent="0.35">
      <c r="A65" s="912"/>
      <c r="B65" s="834"/>
      <c r="C65" s="211" t="s">
        <v>130</v>
      </c>
      <c r="D65" s="90" t="s">
        <v>131</v>
      </c>
      <c r="E65" s="86" t="s">
        <v>132</v>
      </c>
      <c r="F65" s="670" t="s">
        <v>133</v>
      </c>
      <c r="G65" s="679"/>
      <c r="H65" s="728"/>
      <c r="I65" s="728"/>
      <c r="J65" s="731"/>
      <c r="K65" s="732"/>
      <c r="L65" s="916"/>
      <c r="M65" s="700"/>
      <c r="N65" s="701"/>
      <c r="O65" s="196" t="s">
        <v>80</v>
      </c>
      <c r="P65" s="90" t="s">
        <v>81</v>
      </c>
      <c r="R65" s="741"/>
      <c r="T65" s="332" t="s">
        <v>134</v>
      </c>
      <c r="U65" s="351" t="s">
        <v>135</v>
      </c>
      <c r="V65" s="350" t="s">
        <v>136</v>
      </c>
      <c r="W65" s="351" t="s">
        <v>137</v>
      </c>
      <c r="X65" s="354" t="s">
        <v>138</v>
      </c>
      <c r="Y65" s="355"/>
      <c r="Z65" s="355"/>
      <c r="AA65" s="355"/>
      <c r="AB65" s="354" t="s">
        <v>139</v>
      </c>
      <c r="AC65" s="353" t="s">
        <v>140</v>
      </c>
      <c r="AD65" s="350" t="s">
        <v>141</v>
      </c>
      <c r="AE65" s="728"/>
      <c r="AF65" s="333" t="s">
        <v>134</v>
      </c>
      <c r="AG65" s="351" t="s">
        <v>82</v>
      </c>
      <c r="AH65" s="350" t="s">
        <v>83</v>
      </c>
      <c r="AI65" s="333" t="s">
        <v>84</v>
      </c>
      <c r="AJ65" s="357" t="s">
        <v>83</v>
      </c>
      <c r="AK65" s="366"/>
      <c r="AL65" s="366"/>
      <c r="AM65" s="366"/>
      <c r="AN65" s="358" t="s">
        <v>68</v>
      </c>
      <c r="AO65" s="352" t="s">
        <v>68</v>
      </c>
      <c r="AP65" s="350" t="s">
        <v>85</v>
      </c>
      <c r="AQ65" s="868"/>
      <c r="AR65" s="350" t="s">
        <v>142</v>
      </c>
      <c r="AS65" s="351" t="s">
        <v>143</v>
      </c>
      <c r="AT65" s="350" t="s">
        <v>144</v>
      </c>
      <c r="AU65" s="352" t="s">
        <v>145</v>
      </c>
      <c r="AV65" s="350" t="s">
        <v>146</v>
      </c>
      <c r="AW65" s="181" t="s">
        <v>147</v>
      </c>
      <c r="AX65" s="182" t="s">
        <v>148</v>
      </c>
      <c r="BA65" s="83" t="s">
        <v>228</v>
      </c>
      <c r="BB65" s="169">
        <v>1</v>
      </c>
      <c r="BC65" s="169">
        <v>2</v>
      </c>
      <c r="BD65" s="169">
        <v>3</v>
      </c>
      <c r="BE65" s="169">
        <v>4</v>
      </c>
      <c r="BF65" s="169">
        <v>5</v>
      </c>
      <c r="BG65" s="169">
        <v>6</v>
      </c>
      <c r="BH65" s="169">
        <v>7</v>
      </c>
      <c r="BI65" s="169">
        <v>8</v>
      </c>
      <c r="BJ65" s="169">
        <v>9</v>
      </c>
      <c r="BK65" s="169">
        <v>10</v>
      </c>
      <c r="BL65" s="169">
        <v>11</v>
      </c>
      <c r="BM65" s="169">
        <v>12</v>
      </c>
      <c r="BN65" s="169">
        <v>13</v>
      </c>
      <c r="BO65" s="169">
        <v>14</v>
      </c>
      <c r="BP65" s="169">
        <v>15</v>
      </c>
      <c r="BQ65" s="169">
        <v>16</v>
      </c>
      <c r="BR65" s="169">
        <v>17</v>
      </c>
      <c r="BS65" s="169">
        <v>18</v>
      </c>
      <c r="BT65" s="169">
        <v>19</v>
      </c>
      <c r="BU65" s="169">
        <v>20</v>
      </c>
      <c r="BV65" s="183" t="s">
        <v>151</v>
      </c>
      <c r="BW65" s="169" t="s">
        <v>152</v>
      </c>
      <c r="BX65" s="169" t="s">
        <v>153</v>
      </c>
    </row>
    <row r="66" spans="1:76" s="25" customFormat="1" ht="15.6" x14ac:dyDescent="0.3">
      <c r="B66" s="270">
        <v>1</v>
      </c>
      <c r="C66" s="415" t="str">
        <f t="shared" ref="C66:C85" si="12">IF(D66="","",C11)</f>
        <v/>
      </c>
      <c r="D66" s="416" t="str">
        <f>IF(OR(K11="", K11=0),"",D11)</f>
        <v/>
      </c>
      <c r="E66" s="417" t="str">
        <f t="shared" ref="E66:E85" si="13">IF(AX66="","",AX66)</f>
        <v/>
      </c>
      <c r="F66" s="882"/>
      <c r="G66" s="883"/>
      <c r="H66" s="418" t="str">
        <f t="shared" ref="H66:H85" si="14">IF(D66="","",AB66)</f>
        <v/>
      </c>
      <c r="I66" s="419" t="str">
        <f>IF(OR(K11="", K11=0),"",K11)</f>
        <v/>
      </c>
      <c r="J66" s="913" t="str">
        <f>IFERROR(IF(F66="","",VLOOKUP(F66,'10. Condition and Temporal'!$B$6:$F$103,5,FALSE)), "Error ▲")</f>
        <v/>
      </c>
      <c r="K66" s="914"/>
      <c r="L66" s="295" t="str">
        <f>IFERROR(IF(D66="","",IF(AX66="Distinctiveness",(((((I66*AH66*AJ66)-(I66*V66*X66))*(AV66*AT66))+(I66*V66*X66))*AP66/1000),((((I66*AH66*AJ66)-(I66*V66*X66))*(AV66*AR66))+(I66*V66*X66))*AP66/1000)),"This intervention is not permitted within the SSM ▲")</f>
        <v/>
      </c>
      <c r="M66" s="917" t="str">
        <f>IFERROR(IF(F66="","",L66-AD66), "Error ▲")</f>
        <v/>
      </c>
      <c r="N66" s="918"/>
      <c r="O66" s="217"/>
      <c r="P66" s="142"/>
      <c r="R66" s="741"/>
      <c r="T66" s="177" t="str">
        <f t="shared" ref="T66:T85" si="15">IF(D66="","",K11)</f>
        <v/>
      </c>
      <c r="U66" s="114" t="str">
        <f>IF($D66="","",T11)</f>
        <v/>
      </c>
      <c r="V66" s="115" t="str">
        <f t="shared" ref="V66:X85" si="16">IF($D66="","",V11)</f>
        <v/>
      </c>
      <c r="W66" s="114" t="str">
        <f t="shared" si="16"/>
        <v/>
      </c>
      <c r="X66" s="95" t="str">
        <f t="shared" si="16"/>
        <v/>
      </c>
      <c r="Y66" s="343"/>
      <c r="Z66" s="343"/>
      <c r="AA66" s="343"/>
      <c r="AB66" s="95" t="str">
        <f t="shared" ref="AB66:AB85" si="17">IF($D66="","",AB11)</f>
        <v/>
      </c>
      <c r="AC66" s="116" t="str">
        <f t="shared" ref="AC66:AC85" si="18">IF($D66="","",AD11)</f>
        <v/>
      </c>
      <c r="AD66" s="115" t="str">
        <f>IF(AC66="","",(T66*V66*X66)*AC66/1000)</f>
        <v/>
      </c>
      <c r="AE66" s="179" t="str">
        <f>IF(AD66="","",IF(AH66&lt;V66,"Not Acceptable","Acceptable"))</f>
        <v/>
      </c>
      <c r="AF66" s="113" t="str">
        <f t="shared" ref="AF66:AF85" si="19">IF(D66="","",I66)</f>
        <v/>
      </c>
      <c r="AG66" s="114" t="str">
        <f>IF(D66="","",VLOOKUP(F66,'9. All Habitats + Multipliers'!$C$4:$K$102,5,FALSE))</f>
        <v/>
      </c>
      <c r="AH66" s="115" t="str">
        <f>IF(AG66="","",VLOOKUP(AG66,'11. Lists'!$S$47:$U$50,2,FALSE))</f>
        <v/>
      </c>
      <c r="AI66" s="113" t="str">
        <f t="shared" ref="AI66:AI85" si="20">IF(D66="","",J66)</f>
        <v/>
      </c>
      <c r="AJ66" s="93" t="str">
        <f>IF(AI66="","",VLOOKUP(AI66,'11. Lists'!$F$47:$G$51,2,FALSE))</f>
        <v/>
      </c>
      <c r="AK66" s="343"/>
      <c r="AL66" s="343"/>
      <c r="AM66" s="343"/>
      <c r="AN66" s="94" t="str">
        <f t="shared" ref="AN66:AN85" si="21">IF(H66="","",H66)</f>
        <v/>
      </c>
      <c r="AO66" s="117" t="str">
        <f>IF(AN66="","",VLOOKUP(AN66,'11. Lists'!$F$36:$H$38,2,FALSE))</f>
        <v/>
      </c>
      <c r="AP66" s="115" t="str">
        <f>IF(AN66="","",VLOOKUP(AN66,'11. Lists'!$F$36:$H$38,3,FALSE))</f>
        <v/>
      </c>
      <c r="AQ66" s="114" t="str">
        <f>IF(D66="","",IF(AX66="Distinctiveness","N/A",VLOOKUP(F66,'10. Condition and Temporal'!$B$6:$L$103,11,FALSE)))</f>
        <v/>
      </c>
      <c r="AR66" s="118" t="str">
        <f>IF(AQ66="","",IF(AQ66="N/A","1",VLOOKUP(AQ66,'11. Lists'!$I$47:$K$80,3,FALSE)))</f>
        <v/>
      </c>
      <c r="AS66" s="134" t="str">
        <f>IF(D66="","",IF(AX66="Condition","N/A",VLOOKUP(F66,'10. Condition and Temporal'!$B$6:$M$106,12,FALSE)))</f>
        <v/>
      </c>
      <c r="AT66" s="118" t="str">
        <f>IF(AS66="","",IF(AS66="N/A","1",VLOOKUP(AS66,'11. Lists'!$I$47:$K$80,3,FALSE)))</f>
        <v/>
      </c>
      <c r="AU66" s="117" t="str">
        <f>IF(D66="","",VLOOKUP(F66,'9. All Habitats + Multipliers'!$C$4:$K$102,8,FALSE))</f>
        <v/>
      </c>
      <c r="AV66" s="115" t="str">
        <f>IF(AU66="","",VLOOKUP(AU66,'11. Lists'!$J$35:$K$38,2,FALSE))</f>
        <v/>
      </c>
      <c r="AW66" s="114" t="str">
        <f>IF(D66="","",VLOOKUP(D66,'10. Condition and Temporal'!$B$6:$M$103,4,FALSE))</f>
        <v/>
      </c>
      <c r="AX66" s="115" t="str">
        <f t="shared" ref="AX66:AX85" si="22">IF(F66="","",IF(D66=F66,"Condition","Distinctiveness"))</f>
        <v/>
      </c>
      <c r="AZ66" s="206"/>
      <c r="BA66" s="93">
        <v>1</v>
      </c>
      <c r="BB66" s="95" t="str">
        <f t="shared" ref="BB66:BB85" si="23">TRIM(MID(SUBSTITUTE($AW$66,$BA$62,REPT(" ",LEN($AW$66))),($BA66-1)*LEN($AW$66)+1,LEN($AW$66)))</f>
        <v/>
      </c>
      <c r="BC66" s="95" t="str">
        <f t="shared" ref="BC66:BC85" si="24">TRIM(MID(SUBSTITUTE($AW$67,$BA$62,REPT(" ",LEN($AW$67))),($BA66-1)*LEN($AW$67)+1,LEN($AW$67)))</f>
        <v/>
      </c>
      <c r="BD66" s="95" t="str">
        <f t="shared" ref="BD66:BD85" si="25">TRIM(MID(SUBSTITUTE($AW$68,$BA$62,REPT(" ",LEN($AW$68))),($BA66-1)*LEN($AW$68)+1,LEN($AW$68)))</f>
        <v/>
      </c>
      <c r="BE66" s="95" t="str">
        <f t="shared" ref="BE66:BE85" si="26">TRIM(MID(SUBSTITUTE($AW$69,$BA$62,REPT(" ",LEN($AW$69))),($BA66-1)*LEN($AW$69)+1,LEN($AW$69)))</f>
        <v/>
      </c>
      <c r="BF66" s="95" t="str">
        <f t="shared" ref="BF66:BF85" si="27">TRIM(MID(SUBSTITUTE($AW$70,$BA$62,REPT(" ",LEN($AW$70))),($BA66-1)*LEN($AW$70)+1,LEN($AW$70)))</f>
        <v/>
      </c>
      <c r="BG66" s="95" t="str">
        <f t="shared" ref="BG66:BG85" si="28">TRIM(MID(SUBSTITUTE($AW$71,$BA$62,REPT(" ",LEN($AW$71))),($BA66-1)*LEN($AW$71)+1,LEN($AW$71)))</f>
        <v/>
      </c>
      <c r="BH66" s="95" t="str">
        <f t="shared" ref="BH66:BH85" si="29">TRIM(MID(SUBSTITUTE($AW$72,$BA$62,REPT(" ",LEN($AW$72))),($BA66-1)*LEN($AW$72)+1,LEN($AW$72)))</f>
        <v/>
      </c>
      <c r="BI66" s="95" t="str">
        <f t="shared" ref="BI66:BI85" si="30">TRIM(MID(SUBSTITUTE($AW$73,$BA$62,REPT(" ",LEN($AW$73))),($BA66-1)*LEN($AW$73)+1,LEN($AW$73)))</f>
        <v/>
      </c>
      <c r="BJ66" s="95" t="str">
        <f t="shared" ref="BJ66:BJ85" si="31">TRIM(MID(SUBSTITUTE($AW$74,$BA$62,REPT(" ",LEN($AW$74))),($BA66-1)*LEN($AW$74)+1,LEN($AW$74)))</f>
        <v/>
      </c>
      <c r="BK66" s="95" t="str">
        <f t="shared" ref="BK66:BK85" si="32">TRIM(MID(SUBSTITUTE($AW$75,$BA$62,REPT(" ",LEN($AW$75))),($BA66-1)*LEN($AW$75)+1,LEN($AW$75)))</f>
        <v/>
      </c>
      <c r="BL66" s="95" t="str">
        <f t="shared" ref="BL66:BL85" si="33">TRIM(MID(SUBSTITUTE($AW$76,$BA$62,REPT(" ",LEN($AW$76))),($BA66-1)*LEN($AW$76)+1,LEN($AW$76)))</f>
        <v/>
      </c>
      <c r="BM66" s="95" t="str">
        <f t="shared" ref="BM66:BM85" si="34">TRIM(MID(SUBSTITUTE($AW$77,$BA$62,REPT(" ",LEN($AW$77))),($BA66-1)*LEN($AW$77)+1,LEN($AW$77)))</f>
        <v/>
      </c>
      <c r="BN66" s="95" t="str">
        <f t="shared" ref="BN66:BN85" si="35">TRIM(MID(SUBSTITUTE($AW$78,$BA$62,REPT(" ",LEN($AW$78))),($BA66-1)*LEN($AW$78)+1,LEN($AW$78)))</f>
        <v/>
      </c>
      <c r="BO66" s="95" t="str">
        <f t="shared" ref="BO66:BO85" si="36">TRIM(MID(SUBSTITUTE($AW$79,$BA$62,REPT(" ",LEN($AW$79))),($BA66-1)*LEN($AW$79)+1,LEN($AW$79)))</f>
        <v/>
      </c>
      <c r="BP66" s="95" t="str">
        <f t="shared" ref="BP66:BP85" si="37">TRIM(MID(SUBSTITUTE($AW$80,$BA$62,REPT(" ",LEN($AW$80))),($BA66-1)*LEN($AW$80)+1,LEN($AW$80)))</f>
        <v/>
      </c>
      <c r="BQ66" s="95" t="str">
        <f t="shared" ref="BQ66:BQ85" si="38">TRIM(MID(SUBSTITUTE($AW$81,$BA$62,REPT(" ",LEN($AW$81))),($BA66-1)*LEN($AW$81)+1,LEN($AW$81)))</f>
        <v/>
      </c>
      <c r="BR66" s="95" t="str">
        <f t="shared" ref="BR66:BR85" si="39">TRIM(MID(SUBSTITUTE($AW$82,$BA$62,REPT(" ",LEN($AW$82))),($BA66-1)*LEN($AW$82)+1,LEN($AW$82)))</f>
        <v/>
      </c>
      <c r="BS66" s="95" t="str">
        <f t="shared" ref="BS66:BS85" si="40">TRIM(MID(SUBSTITUTE($AW$83,$BA$62,REPT(" ",LEN($AW$83))),($BA66-1)*LEN($AW$83)+1,LEN($AW$83)))</f>
        <v/>
      </c>
      <c r="BT66" s="95" t="str">
        <f t="shared" ref="BT66:BT85" si="41">TRIM(MID(SUBSTITUTE($AW$84,$BA$62,REPT(" ",LEN($AW$84))),($BA66-1)*LEN($AW$84)+1,LEN($AW$84)))</f>
        <v/>
      </c>
      <c r="BU66" s="94" t="str">
        <f t="shared" ref="BU66:BU85" si="42">TRIM(MID(SUBSTITUTE($AW$85,$BA$62,REPT(" ",LEN($AW$85))),($BA66-1)*LEN($AW$85)+1,LEN($AW$85)))</f>
        <v/>
      </c>
      <c r="BV66" s="184" t="str">
        <f>IF(BX66=0,"",CONCATENATE(BW66,"66:",BW66,BX66+65))</f>
        <v/>
      </c>
      <c r="BW66" s="95" t="s">
        <v>154</v>
      </c>
      <c r="BX66" s="95">
        <f>BB64</f>
        <v>0</v>
      </c>
    </row>
    <row r="67" spans="1:76" s="25" customFormat="1" ht="15.6" x14ac:dyDescent="0.3">
      <c r="B67" s="264">
        <v>2</v>
      </c>
      <c r="C67" s="119" t="str">
        <f t="shared" si="12"/>
        <v/>
      </c>
      <c r="D67" s="208" t="str">
        <f t="shared" ref="D67:D85" si="43">IF(OR(K12="", K12=0),"",D12)</f>
        <v/>
      </c>
      <c r="E67" s="166" t="str">
        <f t="shared" si="13"/>
        <v/>
      </c>
      <c r="F67" s="826"/>
      <c r="G67" s="827"/>
      <c r="H67" s="163" t="str">
        <f t="shared" si="14"/>
        <v/>
      </c>
      <c r="I67" s="320" t="str">
        <f t="shared" ref="I67:I85" si="44">IF(OR(K12="", K12=0),"",K12)</f>
        <v/>
      </c>
      <c r="J67" s="873" t="str">
        <f>IFERROR(IF(F67="","",VLOOKUP(F67,'10. Condition and Temporal'!$B$6:$F$103,5,FALSE)), "Error ▲")</f>
        <v/>
      </c>
      <c r="K67" s="874"/>
      <c r="L67" s="283" t="str">
        <f t="shared" ref="L67:L85" si="45">IFERROR(IF(D67="","",IF(AX67="Distinctiveness",(((((I67*AH67*AJ67)-(I67*V67*X67))*(AV67*AT67))+(I67*V67*X67))*AP67/1000),((((I67*AH67*AJ67)-(I67*V67*X67))*(AV67*AR67))+(I67*V67*X67))*AP67/1000)),"This intervention is not permitted within the SSM ▲")</f>
        <v/>
      </c>
      <c r="M67" s="734" t="str">
        <f t="shared" ref="M67:M85" si="46">IFERROR(IF(F67="","",L67-AD67), "Error ▲")</f>
        <v/>
      </c>
      <c r="N67" s="875"/>
      <c r="O67" s="74"/>
      <c r="P67" s="12"/>
      <c r="R67" s="741"/>
      <c r="T67" s="177" t="str">
        <f t="shared" si="15"/>
        <v/>
      </c>
      <c r="U67" s="114" t="str">
        <f t="shared" ref="U67:U85" si="47">IF($D67="","",T12)</f>
        <v/>
      </c>
      <c r="V67" s="115" t="str">
        <f t="shared" si="16"/>
        <v/>
      </c>
      <c r="W67" s="114" t="str">
        <f t="shared" si="16"/>
        <v/>
      </c>
      <c r="X67" s="95" t="str">
        <f t="shared" si="16"/>
        <v/>
      </c>
      <c r="Y67" s="343"/>
      <c r="Z67" s="343"/>
      <c r="AA67" s="343"/>
      <c r="AB67" s="95" t="str">
        <f t="shared" si="17"/>
        <v/>
      </c>
      <c r="AC67" s="116" t="str">
        <f t="shared" si="18"/>
        <v/>
      </c>
      <c r="AD67" s="115" t="str">
        <f>IF(AC67="","",(T67*V67*X67)*AC67/1000)</f>
        <v/>
      </c>
      <c r="AE67" s="179" t="str">
        <f t="shared" ref="AE67:AE85" si="48">IF(AD67="","",IF(AH67&lt;V67,"Not Acceptable","Acceptable"))</f>
        <v/>
      </c>
      <c r="AF67" s="113" t="str">
        <f t="shared" si="19"/>
        <v/>
      </c>
      <c r="AG67" s="114" t="str">
        <f>IF(D67="","",VLOOKUP(F67,'9. All Habitats + Multipliers'!$C$4:$K$102,5,FALSE))</f>
        <v/>
      </c>
      <c r="AH67" s="115" t="str">
        <f>IF(AG67="","",VLOOKUP(AG67,'11. Lists'!$S$47:$U$50,2,FALSE))</f>
        <v/>
      </c>
      <c r="AI67" s="113" t="str">
        <f t="shared" si="20"/>
        <v/>
      </c>
      <c r="AJ67" s="93" t="str">
        <f>IF(AI67="","",VLOOKUP(AI67,'11. Lists'!$F$47:$G$51,2,FALSE))</f>
        <v/>
      </c>
      <c r="AK67" s="343"/>
      <c r="AL67" s="343"/>
      <c r="AM67" s="343"/>
      <c r="AN67" s="94" t="str">
        <f t="shared" si="21"/>
        <v/>
      </c>
      <c r="AO67" s="117" t="str">
        <f>IF(AN67="","",VLOOKUP(AN67,'11. Lists'!$F$36:$H$38,2,FALSE))</f>
        <v/>
      </c>
      <c r="AP67" s="115" t="str">
        <f>IF(AN67="","",VLOOKUP(AN67,'11. Lists'!$F$36:$H$38,3,FALSE))</f>
        <v/>
      </c>
      <c r="AQ67" s="114" t="str">
        <f>IF(D67="","",IF(AX67="Distinctiveness","N/A",VLOOKUP(F67,'10. Condition and Temporal'!$B$6:$L$103,11,FALSE)))</f>
        <v/>
      </c>
      <c r="AR67" s="118" t="str">
        <f>IF(AQ67="","",IF(AQ67="N/A","1",VLOOKUP(AQ67,'11. Lists'!$I$47:$K$80,3,FALSE)))</f>
        <v/>
      </c>
      <c r="AS67" s="134" t="str">
        <f>IF(D67="","",IF(AX67="Condition","N/A",VLOOKUP(F67,'10. Condition and Temporal'!$B$6:$M$106,12,FALSE)))</f>
        <v/>
      </c>
      <c r="AT67" s="118" t="str">
        <f>IF(AS67="","",IF(AS67="N/A","1",VLOOKUP(AS67,'11. Lists'!$I$47:$K$80,3,FALSE)))</f>
        <v/>
      </c>
      <c r="AU67" s="117" t="str">
        <f>IF(D67="","",VLOOKUP(F67,'9. All Habitats + Multipliers'!$C$4:$K$102,8,FALSE))</f>
        <v/>
      </c>
      <c r="AV67" s="115" t="str">
        <f>IF(AU67="","",VLOOKUP(AU67,'11. Lists'!$J$35:$K$38,2,FALSE))</f>
        <v/>
      </c>
      <c r="AW67" s="114" t="str">
        <f>IF(D67="","",VLOOKUP(D67,'10. Condition and Temporal'!$B$6:$M$103,4,FALSE))</f>
        <v/>
      </c>
      <c r="AX67" s="115" t="str">
        <f t="shared" si="22"/>
        <v/>
      </c>
      <c r="AZ67" s="206"/>
      <c r="BA67" s="93">
        <v>2</v>
      </c>
      <c r="BB67" s="95" t="str">
        <f t="shared" si="23"/>
        <v/>
      </c>
      <c r="BC67" s="95" t="str">
        <f t="shared" si="24"/>
        <v/>
      </c>
      <c r="BD67" s="95" t="str">
        <f t="shared" si="25"/>
        <v/>
      </c>
      <c r="BE67" s="95" t="str">
        <f t="shared" si="26"/>
        <v/>
      </c>
      <c r="BF67" s="95" t="str">
        <f t="shared" si="27"/>
        <v/>
      </c>
      <c r="BG67" s="95" t="str">
        <f t="shared" si="28"/>
        <v/>
      </c>
      <c r="BH67" s="95" t="str">
        <f t="shared" si="29"/>
        <v/>
      </c>
      <c r="BI67" s="95" t="str">
        <f t="shared" si="30"/>
        <v/>
      </c>
      <c r="BJ67" s="95" t="str">
        <f t="shared" si="31"/>
        <v/>
      </c>
      <c r="BK67" s="95" t="str">
        <f t="shared" si="32"/>
        <v/>
      </c>
      <c r="BL67" s="95" t="str">
        <f t="shared" si="33"/>
        <v/>
      </c>
      <c r="BM67" s="95" t="str">
        <f t="shared" si="34"/>
        <v/>
      </c>
      <c r="BN67" s="95" t="str">
        <f t="shared" si="35"/>
        <v/>
      </c>
      <c r="BO67" s="95" t="str">
        <f t="shared" si="36"/>
        <v/>
      </c>
      <c r="BP67" s="95" t="str">
        <f t="shared" si="37"/>
        <v/>
      </c>
      <c r="BQ67" s="95" t="str">
        <f t="shared" si="38"/>
        <v/>
      </c>
      <c r="BR67" s="95" t="str">
        <f t="shared" si="39"/>
        <v/>
      </c>
      <c r="BS67" s="95" t="str">
        <f t="shared" si="40"/>
        <v/>
      </c>
      <c r="BT67" s="95" t="str">
        <f t="shared" si="41"/>
        <v/>
      </c>
      <c r="BU67" s="94" t="str">
        <f t="shared" si="42"/>
        <v/>
      </c>
      <c r="BV67" s="184" t="str">
        <f t="shared" ref="BV67:BV85" si="49">IF(BX67=0,"",CONCATENATE(BW67,"66:",BW67,BX67+65))</f>
        <v/>
      </c>
      <c r="BW67" s="95" t="s">
        <v>155</v>
      </c>
      <c r="BX67" s="95">
        <f>BC64</f>
        <v>0</v>
      </c>
    </row>
    <row r="68" spans="1:76" s="25" customFormat="1" ht="15.6" x14ac:dyDescent="0.3">
      <c r="B68" s="264">
        <v>3</v>
      </c>
      <c r="C68" s="119" t="str">
        <f t="shared" si="12"/>
        <v/>
      </c>
      <c r="D68" s="208" t="str">
        <f t="shared" si="43"/>
        <v/>
      </c>
      <c r="E68" s="166" t="str">
        <f t="shared" si="13"/>
        <v/>
      </c>
      <c r="F68" s="826"/>
      <c r="G68" s="827"/>
      <c r="H68" s="163" t="str">
        <f t="shared" si="14"/>
        <v/>
      </c>
      <c r="I68" s="320" t="str">
        <f t="shared" si="44"/>
        <v/>
      </c>
      <c r="J68" s="873" t="str">
        <f>IFERROR(IF(F68="","",VLOOKUP(F68,'10. Condition and Temporal'!$B$6:$F$103,5,FALSE)), "Error ▲")</f>
        <v/>
      </c>
      <c r="K68" s="874"/>
      <c r="L68" s="283" t="str">
        <f t="shared" si="45"/>
        <v/>
      </c>
      <c r="M68" s="734" t="str">
        <f t="shared" si="46"/>
        <v/>
      </c>
      <c r="N68" s="875"/>
      <c r="O68" s="74"/>
      <c r="P68" s="12"/>
      <c r="R68" s="741"/>
      <c r="T68" s="177" t="str">
        <f t="shared" si="15"/>
        <v/>
      </c>
      <c r="U68" s="114" t="str">
        <f t="shared" si="47"/>
        <v/>
      </c>
      <c r="V68" s="115" t="str">
        <f t="shared" si="16"/>
        <v/>
      </c>
      <c r="W68" s="114" t="str">
        <f t="shared" si="16"/>
        <v/>
      </c>
      <c r="X68" s="95" t="str">
        <f t="shared" si="16"/>
        <v/>
      </c>
      <c r="Y68" s="343"/>
      <c r="Z68" s="343"/>
      <c r="AA68" s="343"/>
      <c r="AB68" s="95" t="str">
        <f t="shared" si="17"/>
        <v/>
      </c>
      <c r="AC68" s="116" t="str">
        <f t="shared" si="18"/>
        <v/>
      </c>
      <c r="AD68" s="115" t="str">
        <f t="shared" ref="AD68:AD85" si="50">IF(AC68="","",(T68*V68*X68)*AC68/1000)</f>
        <v/>
      </c>
      <c r="AE68" s="179" t="str">
        <f t="shared" si="48"/>
        <v/>
      </c>
      <c r="AF68" s="113" t="str">
        <f t="shared" si="19"/>
        <v/>
      </c>
      <c r="AG68" s="114" t="str">
        <f>IF(D68="","",VLOOKUP(F68,'9. All Habitats + Multipliers'!$C$4:$K$102,5,FALSE))</f>
        <v/>
      </c>
      <c r="AH68" s="115" t="str">
        <f>IF(AG68="","",VLOOKUP(AG68,'11. Lists'!$S$47:$U$50,2,FALSE))</f>
        <v/>
      </c>
      <c r="AI68" s="113" t="str">
        <f t="shared" si="20"/>
        <v/>
      </c>
      <c r="AJ68" s="93" t="str">
        <f>IF(AI68="","",VLOOKUP(AI68,'11. Lists'!$F$47:$G$51,2,FALSE))</f>
        <v/>
      </c>
      <c r="AK68" s="343"/>
      <c r="AL68" s="343"/>
      <c r="AM68" s="343"/>
      <c r="AN68" s="94" t="str">
        <f t="shared" si="21"/>
        <v/>
      </c>
      <c r="AO68" s="117" t="str">
        <f>IF(AN68="","",VLOOKUP(AN68,'11. Lists'!$F$36:$H$38,2,FALSE))</f>
        <v/>
      </c>
      <c r="AP68" s="115" t="str">
        <f>IF(AN68="","",VLOOKUP(AN68,'11. Lists'!$F$36:$H$38,3,FALSE))</f>
        <v/>
      </c>
      <c r="AQ68" s="114" t="str">
        <f>IF(D68="","",IF(AX68="Distinctiveness","N/A",VLOOKUP(F68,'10. Condition and Temporal'!$B$6:$L$103,11,FALSE)))</f>
        <v/>
      </c>
      <c r="AR68" s="118" t="str">
        <f>IF(AQ68="","",IF(AQ68="N/A","1",VLOOKUP(AQ68,'11. Lists'!$I$47:$K$80,3,FALSE)))</f>
        <v/>
      </c>
      <c r="AS68" s="134" t="str">
        <f>IF(D68="","",IF(AX68="Condition","N/A",VLOOKUP(F68,'10. Condition and Temporal'!$B$6:$M$106,12,FALSE)))</f>
        <v/>
      </c>
      <c r="AT68" s="118" t="str">
        <f>IF(AS68="","",IF(AS68="N/A","1",VLOOKUP(AS68,'11. Lists'!$I$47:$K$80,3,FALSE)))</f>
        <v/>
      </c>
      <c r="AU68" s="117" t="str">
        <f>IF(D68="","",VLOOKUP(F68,'9. All Habitats + Multipliers'!$C$4:$K$102,8,FALSE))</f>
        <v/>
      </c>
      <c r="AV68" s="115" t="str">
        <f>IF(AU68="","",VLOOKUP(AU68,'11. Lists'!$J$35:$K$38,2,FALSE))</f>
        <v/>
      </c>
      <c r="AW68" s="114" t="str">
        <f>IF(D68="","",VLOOKUP(D68,'10. Condition and Temporal'!$B$6:$M$103,4,FALSE))</f>
        <v/>
      </c>
      <c r="AX68" s="115" t="str">
        <f t="shared" si="22"/>
        <v/>
      </c>
      <c r="AZ68" s="206"/>
      <c r="BA68" s="93">
        <v>3</v>
      </c>
      <c r="BB68" s="95" t="str">
        <f t="shared" si="23"/>
        <v/>
      </c>
      <c r="BC68" s="95" t="str">
        <f t="shared" si="24"/>
        <v/>
      </c>
      <c r="BD68" s="95" t="str">
        <f t="shared" si="25"/>
        <v/>
      </c>
      <c r="BE68" s="95" t="str">
        <f t="shared" si="26"/>
        <v/>
      </c>
      <c r="BF68" s="95" t="str">
        <f t="shared" si="27"/>
        <v/>
      </c>
      <c r="BG68" s="95" t="str">
        <f t="shared" si="28"/>
        <v/>
      </c>
      <c r="BH68" s="95" t="str">
        <f t="shared" si="29"/>
        <v/>
      </c>
      <c r="BI68" s="95" t="str">
        <f t="shared" si="30"/>
        <v/>
      </c>
      <c r="BJ68" s="95" t="str">
        <f t="shared" si="31"/>
        <v/>
      </c>
      <c r="BK68" s="95" t="str">
        <f t="shared" si="32"/>
        <v/>
      </c>
      <c r="BL68" s="95" t="str">
        <f t="shared" si="33"/>
        <v/>
      </c>
      <c r="BM68" s="95" t="str">
        <f t="shared" si="34"/>
        <v/>
      </c>
      <c r="BN68" s="95" t="str">
        <f t="shared" si="35"/>
        <v/>
      </c>
      <c r="BO68" s="95" t="str">
        <f t="shared" si="36"/>
        <v/>
      </c>
      <c r="BP68" s="95" t="str">
        <f t="shared" si="37"/>
        <v/>
      </c>
      <c r="BQ68" s="95" t="str">
        <f t="shared" si="38"/>
        <v/>
      </c>
      <c r="BR68" s="95" t="str">
        <f t="shared" si="39"/>
        <v/>
      </c>
      <c r="BS68" s="95" t="str">
        <f t="shared" si="40"/>
        <v/>
      </c>
      <c r="BT68" s="95" t="str">
        <f t="shared" si="41"/>
        <v/>
      </c>
      <c r="BU68" s="94" t="str">
        <f t="shared" si="42"/>
        <v/>
      </c>
      <c r="BV68" s="184" t="str">
        <f t="shared" si="49"/>
        <v/>
      </c>
      <c r="BW68" s="95" t="s">
        <v>156</v>
      </c>
      <c r="BX68" s="95">
        <f>BD64</f>
        <v>0</v>
      </c>
    </row>
    <row r="69" spans="1:76" s="25" customFormat="1" ht="15.6" x14ac:dyDescent="0.3">
      <c r="B69" s="264">
        <v>4</v>
      </c>
      <c r="C69" s="119" t="str">
        <f t="shared" si="12"/>
        <v/>
      </c>
      <c r="D69" s="208" t="str">
        <f t="shared" si="43"/>
        <v/>
      </c>
      <c r="E69" s="166" t="str">
        <f t="shared" si="13"/>
        <v/>
      </c>
      <c r="F69" s="826"/>
      <c r="G69" s="827"/>
      <c r="H69" s="163" t="str">
        <f t="shared" si="14"/>
        <v/>
      </c>
      <c r="I69" s="320" t="str">
        <f t="shared" si="44"/>
        <v/>
      </c>
      <c r="J69" s="873" t="str">
        <f>IFERROR(IF(F69="","",VLOOKUP(F69,'10. Condition and Temporal'!$B$6:$F$103,5,FALSE)), "Error ▲")</f>
        <v/>
      </c>
      <c r="K69" s="874"/>
      <c r="L69" s="283" t="str">
        <f t="shared" si="45"/>
        <v/>
      </c>
      <c r="M69" s="734" t="str">
        <f t="shared" si="46"/>
        <v/>
      </c>
      <c r="N69" s="875"/>
      <c r="O69" s="74"/>
      <c r="P69" s="12"/>
      <c r="R69" s="741"/>
      <c r="T69" s="177" t="str">
        <f t="shared" si="15"/>
        <v/>
      </c>
      <c r="U69" s="114" t="str">
        <f t="shared" si="47"/>
        <v/>
      </c>
      <c r="V69" s="115" t="str">
        <f t="shared" si="16"/>
        <v/>
      </c>
      <c r="W69" s="114" t="str">
        <f t="shared" si="16"/>
        <v/>
      </c>
      <c r="X69" s="95" t="str">
        <f t="shared" si="16"/>
        <v/>
      </c>
      <c r="Y69" s="343"/>
      <c r="Z69" s="343"/>
      <c r="AA69" s="343"/>
      <c r="AB69" s="95" t="str">
        <f t="shared" si="17"/>
        <v/>
      </c>
      <c r="AC69" s="116" t="str">
        <f t="shared" si="18"/>
        <v/>
      </c>
      <c r="AD69" s="115" t="str">
        <f t="shared" si="50"/>
        <v/>
      </c>
      <c r="AE69" s="179" t="str">
        <f t="shared" si="48"/>
        <v/>
      </c>
      <c r="AF69" s="113" t="str">
        <f t="shared" si="19"/>
        <v/>
      </c>
      <c r="AG69" s="114" t="str">
        <f>IF(D69="","",VLOOKUP(F69,'9. All Habitats + Multipliers'!$C$4:$K$102,5,FALSE))</f>
        <v/>
      </c>
      <c r="AH69" s="115" t="str">
        <f>IF(AG69="","",VLOOKUP(AG69,'11. Lists'!$S$47:$U$50,2,FALSE))</f>
        <v/>
      </c>
      <c r="AI69" s="113" t="str">
        <f t="shared" si="20"/>
        <v/>
      </c>
      <c r="AJ69" s="93" t="str">
        <f>IF(AI69="","",VLOOKUP(AI69,'11. Lists'!$F$47:$G$51,2,FALSE))</f>
        <v/>
      </c>
      <c r="AK69" s="343"/>
      <c r="AL69" s="343"/>
      <c r="AM69" s="343"/>
      <c r="AN69" s="94" t="str">
        <f t="shared" si="21"/>
        <v/>
      </c>
      <c r="AO69" s="117" t="str">
        <f>IF(AN69="","",VLOOKUP(AN69,'11. Lists'!$F$36:$H$38,2,FALSE))</f>
        <v/>
      </c>
      <c r="AP69" s="115" t="str">
        <f>IF(AN69="","",VLOOKUP(AN69,'11. Lists'!$F$36:$H$38,3,FALSE))</f>
        <v/>
      </c>
      <c r="AQ69" s="114" t="str">
        <f>IF(D69="","",IF(AX69="Distinctiveness","N/A",VLOOKUP(F69,'10. Condition and Temporal'!$B$6:$L$103,11,FALSE)))</f>
        <v/>
      </c>
      <c r="AR69" s="118" t="str">
        <f>IF(AQ69="","",IF(AQ69="N/A","1",VLOOKUP(AQ69,'11. Lists'!$I$47:$K$80,3,FALSE)))</f>
        <v/>
      </c>
      <c r="AS69" s="134" t="str">
        <f>IF(D69="","",IF(AX69="Condition","N/A",VLOOKUP(F69,'10. Condition and Temporal'!$B$6:$M$106,12,FALSE)))</f>
        <v/>
      </c>
      <c r="AT69" s="118" t="str">
        <f>IF(AS69="","",IF(AS69="N/A","1",VLOOKUP(AS69,'11. Lists'!$I$47:$K$80,3,FALSE)))</f>
        <v/>
      </c>
      <c r="AU69" s="117" t="str">
        <f>IF(D69="","",VLOOKUP(F69,'9. All Habitats + Multipliers'!$C$4:$K$102,8,FALSE))</f>
        <v/>
      </c>
      <c r="AV69" s="115" t="str">
        <f>IF(AU69="","",VLOOKUP(AU69,'11. Lists'!$J$35:$K$38,2,FALSE))</f>
        <v/>
      </c>
      <c r="AW69" s="114" t="str">
        <f>IF(D69="","",VLOOKUP(D69,'10. Condition and Temporal'!$B$6:$M$103,4,FALSE))</f>
        <v/>
      </c>
      <c r="AX69" s="115" t="str">
        <f t="shared" si="22"/>
        <v/>
      </c>
      <c r="AZ69" s="206"/>
      <c r="BA69" s="93">
        <v>4</v>
      </c>
      <c r="BB69" s="95" t="str">
        <f t="shared" si="23"/>
        <v/>
      </c>
      <c r="BC69" s="95" t="str">
        <f t="shared" si="24"/>
        <v/>
      </c>
      <c r="BD69" s="95" t="str">
        <f t="shared" si="25"/>
        <v/>
      </c>
      <c r="BE69" s="95" t="str">
        <f t="shared" si="26"/>
        <v/>
      </c>
      <c r="BF69" s="95" t="str">
        <f t="shared" si="27"/>
        <v/>
      </c>
      <c r="BG69" s="95" t="str">
        <f t="shared" si="28"/>
        <v/>
      </c>
      <c r="BH69" s="95" t="str">
        <f t="shared" si="29"/>
        <v/>
      </c>
      <c r="BI69" s="95" t="str">
        <f t="shared" si="30"/>
        <v/>
      </c>
      <c r="BJ69" s="95" t="str">
        <f t="shared" si="31"/>
        <v/>
      </c>
      <c r="BK69" s="95" t="str">
        <f t="shared" si="32"/>
        <v/>
      </c>
      <c r="BL69" s="95" t="str">
        <f t="shared" si="33"/>
        <v/>
      </c>
      <c r="BM69" s="95" t="str">
        <f t="shared" si="34"/>
        <v/>
      </c>
      <c r="BN69" s="95" t="str">
        <f t="shared" si="35"/>
        <v/>
      </c>
      <c r="BO69" s="95" t="str">
        <f t="shared" si="36"/>
        <v/>
      </c>
      <c r="BP69" s="95" t="str">
        <f t="shared" si="37"/>
        <v/>
      </c>
      <c r="BQ69" s="95" t="str">
        <f t="shared" si="38"/>
        <v/>
      </c>
      <c r="BR69" s="95" t="str">
        <f t="shared" si="39"/>
        <v/>
      </c>
      <c r="BS69" s="95" t="str">
        <f t="shared" si="40"/>
        <v/>
      </c>
      <c r="BT69" s="95" t="str">
        <f t="shared" si="41"/>
        <v/>
      </c>
      <c r="BU69" s="94" t="str">
        <f t="shared" si="42"/>
        <v/>
      </c>
      <c r="BV69" s="184" t="str">
        <f t="shared" si="49"/>
        <v/>
      </c>
      <c r="BW69" s="95" t="s">
        <v>157</v>
      </c>
      <c r="BX69" s="95">
        <f>BE64</f>
        <v>0</v>
      </c>
    </row>
    <row r="70" spans="1:76" s="25" customFormat="1" ht="15.6" x14ac:dyDescent="0.3">
      <c r="B70" s="264">
        <v>5</v>
      </c>
      <c r="C70" s="119" t="str">
        <f t="shared" si="12"/>
        <v/>
      </c>
      <c r="D70" s="208" t="str">
        <f t="shared" si="43"/>
        <v/>
      </c>
      <c r="E70" s="166" t="str">
        <f t="shared" si="13"/>
        <v/>
      </c>
      <c r="F70" s="826"/>
      <c r="G70" s="827"/>
      <c r="H70" s="163" t="str">
        <f t="shared" si="14"/>
        <v/>
      </c>
      <c r="I70" s="320" t="str">
        <f t="shared" si="44"/>
        <v/>
      </c>
      <c r="J70" s="873" t="str">
        <f>IFERROR(IF(F70="","",VLOOKUP(F70,'10. Condition and Temporal'!$B$6:$F$103,5,FALSE)), "Error ▲")</f>
        <v/>
      </c>
      <c r="K70" s="874"/>
      <c r="L70" s="283" t="str">
        <f t="shared" si="45"/>
        <v/>
      </c>
      <c r="M70" s="734" t="str">
        <f t="shared" si="46"/>
        <v/>
      </c>
      <c r="N70" s="875"/>
      <c r="O70" s="74"/>
      <c r="P70" s="12"/>
      <c r="R70" s="741"/>
      <c r="T70" s="177" t="str">
        <f t="shared" si="15"/>
        <v/>
      </c>
      <c r="U70" s="114" t="str">
        <f t="shared" si="47"/>
        <v/>
      </c>
      <c r="V70" s="115" t="str">
        <f t="shared" si="16"/>
        <v/>
      </c>
      <c r="W70" s="114" t="str">
        <f t="shared" si="16"/>
        <v/>
      </c>
      <c r="X70" s="95" t="str">
        <f t="shared" si="16"/>
        <v/>
      </c>
      <c r="Y70" s="343"/>
      <c r="Z70" s="343"/>
      <c r="AA70" s="343"/>
      <c r="AB70" s="95" t="str">
        <f t="shared" si="17"/>
        <v/>
      </c>
      <c r="AC70" s="116" t="str">
        <f t="shared" si="18"/>
        <v/>
      </c>
      <c r="AD70" s="115" t="str">
        <f t="shared" si="50"/>
        <v/>
      </c>
      <c r="AE70" s="179" t="str">
        <f t="shared" si="48"/>
        <v/>
      </c>
      <c r="AF70" s="113" t="str">
        <f t="shared" si="19"/>
        <v/>
      </c>
      <c r="AG70" s="114" t="str">
        <f>IF(D70="","",VLOOKUP(F70,'9. All Habitats + Multipliers'!$C$4:$K$102,5,FALSE))</f>
        <v/>
      </c>
      <c r="AH70" s="115" t="str">
        <f>IF(AG70="","",VLOOKUP(AG70,'11. Lists'!$S$47:$U$50,2,FALSE))</f>
        <v/>
      </c>
      <c r="AI70" s="113" t="str">
        <f t="shared" si="20"/>
        <v/>
      </c>
      <c r="AJ70" s="93" t="str">
        <f>IF(AI70="","",VLOOKUP(AI70,'11. Lists'!$F$47:$G$51,2,FALSE))</f>
        <v/>
      </c>
      <c r="AK70" s="343"/>
      <c r="AL70" s="343"/>
      <c r="AM70" s="343"/>
      <c r="AN70" s="94" t="str">
        <f t="shared" si="21"/>
        <v/>
      </c>
      <c r="AO70" s="117" t="str">
        <f>IF(AN70="","",VLOOKUP(AN70,'11. Lists'!$F$36:$H$38,2,FALSE))</f>
        <v/>
      </c>
      <c r="AP70" s="115" t="str">
        <f>IF(AN70="","",VLOOKUP(AN70,'11. Lists'!$F$36:$H$38,3,FALSE))</f>
        <v/>
      </c>
      <c r="AQ70" s="114" t="str">
        <f>IF(D70="","",IF(AX70="Distinctiveness","N/A",VLOOKUP(F70,'10. Condition and Temporal'!$B$6:$L$103,11,FALSE)))</f>
        <v/>
      </c>
      <c r="AR70" s="118" t="str">
        <f>IF(AQ70="","",IF(AQ70="N/A","1",VLOOKUP(AQ70,'11. Lists'!$I$47:$K$80,3,FALSE)))</f>
        <v/>
      </c>
      <c r="AS70" s="134" t="str">
        <f>IF(D70="","",IF(AX70="Condition","N/A",VLOOKUP(F70,'10. Condition and Temporal'!$B$6:$M$106,12,FALSE)))</f>
        <v/>
      </c>
      <c r="AT70" s="118" t="str">
        <f>IF(AS70="","",IF(AS70="N/A","1",VLOOKUP(AS70,'11. Lists'!$I$47:$K$80,3,FALSE)))</f>
        <v/>
      </c>
      <c r="AU70" s="117" t="str">
        <f>IF(D70="","",VLOOKUP(F70,'9. All Habitats + Multipliers'!$C$4:$K$102,8,FALSE))</f>
        <v/>
      </c>
      <c r="AV70" s="115" t="str">
        <f>IF(AU70="","",VLOOKUP(AU70,'11. Lists'!$J$35:$K$38,2,FALSE))</f>
        <v/>
      </c>
      <c r="AW70" s="114" t="str">
        <f>IF(D70="","",VLOOKUP(D70,'10. Condition and Temporal'!$B$6:$M$103,4,FALSE))</f>
        <v/>
      </c>
      <c r="AX70" s="115" t="str">
        <f t="shared" si="22"/>
        <v/>
      </c>
      <c r="AZ70" s="206"/>
      <c r="BA70" s="93">
        <v>5</v>
      </c>
      <c r="BB70" s="95" t="str">
        <f t="shared" si="23"/>
        <v/>
      </c>
      <c r="BC70" s="95" t="str">
        <f t="shared" si="24"/>
        <v/>
      </c>
      <c r="BD70" s="95" t="str">
        <f t="shared" si="25"/>
        <v/>
      </c>
      <c r="BE70" s="95" t="str">
        <f t="shared" si="26"/>
        <v/>
      </c>
      <c r="BF70" s="95" t="str">
        <f t="shared" si="27"/>
        <v/>
      </c>
      <c r="BG70" s="95" t="str">
        <f t="shared" si="28"/>
        <v/>
      </c>
      <c r="BH70" s="95" t="str">
        <f t="shared" si="29"/>
        <v/>
      </c>
      <c r="BI70" s="95" t="str">
        <f t="shared" si="30"/>
        <v/>
      </c>
      <c r="BJ70" s="95" t="str">
        <f t="shared" si="31"/>
        <v/>
      </c>
      <c r="BK70" s="95" t="str">
        <f t="shared" si="32"/>
        <v/>
      </c>
      <c r="BL70" s="95" t="str">
        <f t="shared" si="33"/>
        <v/>
      </c>
      <c r="BM70" s="95" t="str">
        <f t="shared" si="34"/>
        <v/>
      </c>
      <c r="BN70" s="95" t="str">
        <f t="shared" si="35"/>
        <v/>
      </c>
      <c r="BO70" s="95" t="str">
        <f t="shared" si="36"/>
        <v/>
      </c>
      <c r="BP70" s="95" t="str">
        <f t="shared" si="37"/>
        <v/>
      </c>
      <c r="BQ70" s="95" t="str">
        <f t="shared" si="38"/>
        <v/>
      </c>
      <c r="BR70" s="95" t="str">
        <f t="shared" si="39"/>
        <v/>
      </c>
      <c r="BS70" s="95" t="str">
        <f t="shared" si="40"/>
        <v/>
      </c>
      <c r="BT70" s="95" t="str">
        <f t="shared" si="41"/>
        <v/>
      </c>
      <c r="BU70" s="94" t="str">
        <f t="shared" si="42"/>
        <v/>
      </c>
      <c r="BV70" s="184" t="str">
        <f t="shared" si="49"/>
        <v/>
      </c>
      <c r="BW70" s="95" t="s">
        <v>158</v>
      </c>
      <c r="BX70" s="95">
        <f>BF64</f>
        <v>0</v>
      </c>
    </row>
    <row r="71" spans="1:76" s="25" customFormat="1" ht="15.6" x14ac:dyDescent="0.3">
      <c r="B71" s="264">
        <v>6</v>
      </c>
      <c r="C71" s="119" t="str">
        <f t="shared" si="12"/>
        <v/>
      </c>
      <c r="D71" s="208" t="str">
        <f t="shared" si="43"/>
        <v/>
      </c>
      <c r="E71" s="166" t="str">
        <f t="shared" si="13"/>
        <v/>
      </c>
      <c r="F71" s="826"/>
      <c r="G71" s="827"/>
      <c r="H71" s="163" t="str">
        <f t="shared" si="14"/>
        <v/>
      </c>
      <c r="I71" s="320" t="str">
        <f t="shared" si="44"/>
        <v/>
      </c>
      <c r="J71" s="873" t="str">
        <f>IFERROR(IF(F71="","",VLOOKUP(F71,'10. Condition and Temporal'!$B$6:$F$103,5,FALSE)), "Error ▲")</f>
        <v/>
      </c>
      <c r="K71" s="874"/>
      <c r="L71" s="283" t="str">
        <f t="shared" si="45"/>
        <v/>
      </c>
      <c r="M71" s="734" t="str">
        <f t="shared" si="46"/>
        <v/>
      </c>
      <c r="N71" s="875"/>
      <c r="O71" s="74"/>
      <c r="P71" s="12"/>
      <c r="R71" s="741"/>
      <c r="T71" s="177" t="str">
        <f t="shared" si="15"/>
        <v/>
      </c>
      <c r="U71" s="114" t="str">
        <f t="shared" si="47"/>
        <v/>
      </c>
      <c r="V71" s="115" t="str">
        <f t="shared" si="16"/>
        <v/>
      </c>
      <c r="W71" s="114" t="str">
        <f t="shared" si="16"/>
        <v/>
      </c>
      <c r="X71" s="95" t="str">
        <f t="shared" si="16"/>
        <v/>
      </c>
      <c r="Y71" s="343"/>
      <c r="Z71" s="343"/>
      <c r="AA71" s="343"/>
      <c r="AB71" s="95" t="str">
        <f t="shared" si="17"/>
        <v/>
      </c>
      <c r="AC71" s="116" t="str">
        <f t="shared" si="18"/>
        <v/>
      </c>
      <c r="AD71" s="115" t="str">
        <f t="shared" si="50"/>
        <v/>
      </c>
      <c r="AE71" s="179" t="str">
        <f t="shared" si="48"/>
        <v/>
      </c>
      <c r="AF71" s="113" t="str">
        <f t="shared" si="19"/>
        <v/>
      </c>
      <c r="AG71" s="114" t="str">
        <f>IF(D71="","",VLOOKUP(F71,'9. All Habitats + Multipliers'!$C$4:$K$102,5,FALSE))</f>
        <v/>
      </c>
      <c r="AH71" s="115" t="str">
        <f>IF(AG71="","",VLOOKUP(AG71,'11. Lists'!$S$47:$U$50,2,FALSE))</f>
        <v/>
      </c>
      <c r="AI71" s="113" t="str">
        <f t="shared" si="20"/>
        <v/>
      </c>
      <c r="AJ71" s="93" t="str">
        <f>IF(AI71="","",VLOOKUP(AI71,'11. Lists'!$F$47:$G$51,2,FALSE))</f>
        <v/>
      </c>
      <c r="AK71" s="343"/>
      <c r="AL71" s="343"/>
      <c r="AM71" s="343"/>
      <c r="AN71" s="94" t="str">
        <f t="shared" si="21"/>
        <v/>
      </c>
      <c r="AO71" s="117" t="str">
        <f>IF(AN71="","",VLOOKUP(AN71,'11. Lists'!$F$36:$H$38,2,FALSE))</f>
        <v/>
      </c>
      <c r="AP71" s="115" t="str">
        <f>IF(AN71="","",VLOOKUP(AN71,'11. Lists'!$F$36:$H$38,3,FALSE))</f>
        <v/>
      </c>
      <c r="AQ71" s="114" t="str">
        <f>IF(D71="","",IF(AX71="Distinctiveness","N/A",VLOOKUP(F71,'10. Condition and Temporal'!$B$6:$L$103,11,FALSE)))</f>
        <v/>
      </c>
      <c r="AR71" s="118" t="str">
        <f>IF(AQ71="","",IF(AQ71="N/A","1",VLOOKUP(AQ71,'11. Lists'!$I$47:$K$80,3,FALSE)))</f>
        <v/>
      </c>
      <c r="AS71" s="134" t="str">
        <f>IF(D71="","",IF(AX71="Condition","N/A",VLOOKUP(F71,'10. Condition and Temporal'!$B$6:$M$106,12,FALSE)))</f>
        <v/>
      </c>
      <c r="AT71" s="118" t="str">
        <f>IF(AS71="","",IF(AS71="N/A","1",VLOOKUP(AS71,'11. Lists'!$I$47:$K$80,3,FALSE)))</f>
        <v/>
      </c>
      <c r="AU71" s="117" t="str">
        <f>IF(D71="","",VLOOKUP(F71,'9. All Habitats + Multipliers'!$C$4:$K$102,8,FALSE))</f>
        <v/>
      </c>
      <c r="AV71" s="115" t="str">
        <f>IF(AU71="","",VLOOKUP(AU71,'11. Lists'!$J$35:$K$38,2,FALSE))</f>
        <v/>
      </c>
      <c r="AW71" s="114" t="str">
        <f>IF(D71="","",VLOOKUP(D71,'10. Condition and Temporal'!$B$6:$M$103,4,FALSE))</f>
        <v/>
      </c>
      <c r="AX71" s="115" t="str">
        <f t="shared" si="22"/>
        <v/>
      </c>
      <c r="AZ71" s="206"/>
      <c r="BA71" s="93">
        <v>6</v>
      </c>
      <c r="BB71" s="95" t="str">
        <f t="shared" si="23"/>
        <v/>
      </c>
      <c r="BC71" s="95" t="str">
        <f t="shared" si="24"/>
        <v/>
      </c>
      <c r="BD71" s="95" t="str">
        <f t="shared" si="25"/>
        <v/>
      </c>
      <c r="BE71" s="95" t="str">
        <f t="shared" si="26"/>
        <v/>
      </c>
      <c r="BF71" s="95" t="str">
        <f t="shared" si="27"/>
        <v/>
      </c>
      <c r="BG71" s="95" t="str">
        <f t="shared" si="28"/>
        <v/>
      </c>
      <c r="BH71" s="95" t="str">
        <f t="shared" si="29"/>
        <v/>
      </c>
      <c r="BI71" s="95" t="str">
        <f t="shared" si="30"/>
        <v/>
      </c>
      <c r="BJ71" s="95" t="str">
        <f t="shared" si="31"/>
        <v/>
      </c>
      <c r="BK71" s="95" t="str">
        <f t="shared" si="32"/>
        <v/>
      </c>
      <c r="BL71" s="95" t="str">
        <f t="shared" si="33"/>
        <v/>
      </c>
      <c r="BM71" s="95" t="str">
        <f t="shared" si="34"/>
        <v/>
      </c>
      <c r="BN71" s="95" t="str">
        <f t="shared" si="35"/>
        <v/>
      </c>
      <c r="BO71" s="95" t="str">
        <f t="shared" si="36"/>
        <v/>
      </c>
      <c r="BP71" s="95" t="str">
        <f t="shared" si="37"/>
        <v/>
      </c>
      <c r="BQ71" s="95" t="str">
        <f t="shared" si="38"/>
        <v/>
      </c>
      <c r="BR71" s="95" t="str">
        <f t="shared" si="39"/>
        <v/>
      </c>
      <c r="BS71" s="95" t="str">
        <f t="shared" si="40"/>
        <v/>
      </c>
      <c r="BT71" s="95" t="str">
        <f t="shared" si="41"/>
        <v/>
      </c>
      <c r="BU71" s="94" t="str">
        <f t="shared" si="42"/>
        <v/>
      </c>
      <c r="BV71" s="184" t="str">
        <f t="shared" si="49"/>
        <v/>
      </c>
      <c r="BW71" s="95" t="s">
        <v>159</v>
      </c>
      <c r="BX71" s="95">
        <f>BG64</f>
        <v>0</v>
      </c>
    </row>
    <row r="72" spans="1:76" s="25" customFormat="1" ht="15.6" x14ac:dyDescent="0.3">
      <c r="B72" s="264">
        <v>7</v>
      </c>
      <c r="C72" s="119" t="str">
        <f t="shared" si="12"/>
        <v/>
      </c>
      <c r="D72" s="208" t="str">
        <f t="shared" si="43"/>
        <v/>
      </c>
      <c r="E72" s="166" t="str">
        <f t="shared" si="13"/>
        <v/>
      </c>
      <c r="F72" s="826"/>
      <c r="G72" s="827"/>
      <c r="H72" s="163" t="str">
        <f t="shared" si="14"/>
        <v/>
      </c>
      <c r="I72" s="320" t="str">
        <f t="shared" si="44"/>
        <v/>
      </c>
      <c r="J72" s="873" t="str">
        <f>IFERROR(IF(F72="","",VLOOKUP(F72,'10. Condition and Temporal'!$B$6:$F$103,5,FALSE)), "Error ▲")</f>
        <v/>
      </c>
      <c r="K72" s="874"/>
      <c r="L72" s="283" t="str">
        <f t="shared" si="45"/>
        <v/>
      </c>
      <c r="M72" s="734" t="str">
        <f t="shared" si="46"/>
        <v/>
      </c>
      <c r="N72" s="875"/>
      <c r="O72" s="74"/>
      <c r="P72" s="12"/>
      <c r="R72" s="741"/>
      <c r="T72" s="177" t="str">
        <f t="shared" si="15"/>
        <v/>
      </c>
      <c r="U72" s="114" t="str">
        <f t="shared" si="47"/>
        <v/>
      </c>
      <c r="V72" s="115" t="str">
        <f t="shared" si="16"/>
        <v/>
      </c>
      <c r="W72" s="114" t="str">
        <f t="shared" si="16"/>
        <v/>
      </c>
      <c r="X72" s="95" t="str">
        <f t="shared" si="16"/>
        <v/>
      </c>
      <c r="Y72" s="343"/>
      <c r="Z72" s="343"/>
      <c r="AA72" s="343"/>
      <c r="AB72" s="95" t="str">
        <f t="shared" si="17"/>
        <v/>
      </c>
      <c r="AC72" s="116" t="str">
        <f t="shared" si="18"/>
        <v/>
      </c>
      <c r="AD72" s="115" t="str">
        <f t="shared" si="50"/>
        <v/>
      </c>
      <c r="AE72" s="179" t="str">
        <f t="shared" si="48"/>
        <v/>
      </c>
      <c r="AF72" s="113" t="str">
        <f t="shared" si="19"/>
        <v/>
      </c>
      <c r="AG72" s="114" t="str">
        <f>IF(D72="","",VLOOKUP(F72,'9. All Habitats + Multipliers'!$C$4:$K$102,5,FALSE))</f>
        <v/>
      </c>
      <c r="AH72" s="115" t="str">
        <f>IF(AG72="","",VLOOKUP(AG72,'11. Lists'!$S$47:$U$50,2,FALSE))</f>
        <v/>
      </c>
      <c r="AI72" s="113" t="str">
        <f t="shared" si="20"/>
        <v/>
      </c>
      <c r="AJ72" s="93" t="str">
        <f>IF(AI72="","",VLOOKUP(AI72,'11. Lists'!$F$47:$G$51,2,FALSE))</f>
        <v/>
      </c>
      <c r="AK72" s="343"/>
      <c r="AL72" s="343"/>
      <c r="AM72" s="343"/>
      <c r="AN72" s="94" t="str">
        <f t="shared" si="21"/>
        <v/>
      </c>
      <c r="AO72" s="117" t="str">
        <f>IF(AN72="","",VLOOKUP(AN72,'11. Lists'!$F$36:$H$38,2,FALSE))</f>
        <v/>
      </c>
      <c r="AP72" s="115" t="str">
        <f>IF(AN72="","",VLOOKUP(AN72,'11. Lists'!$F$36:$H$38,3,FALSE))</f>
        <v/>
      </c>
      <c r="AQ72" s="114" t="str">
        <f>IF(D72="","",IF(AX72="Distinctiveness","N/A",VLOOKUP(F72,'10. Condition and Temporal'!$B$6:$L$103,11,FALSE)))</f>
        <v/>
      </c>
      <c r="AR72" s="118" t="str">
        <f>IF(AQ72="","",IF(AQ72="N/A","1",VLOOKUP(AQ72,'11. Lists'!$I$47:$K$80,3,FALSE)))</f>
        <v/>
      </c>
      <c r="AS72" s="134" t="str">
        <f>IF(D72="","",IF(AX72="Condition","N/A",VLOOKUP(F72,'10. Condition and Temporal'!$B$6:$M$106,12,FALSE)))</f>
        <v/>
      </c>
      <c r="AT72" s="118" t="str">
        <f>IF(AS72="","",IF(AS72="N/A","1",VLOOKUP(AS72,'11. Lists'!$I$47:$K$80,3,FALSE)))</f>
        <v/>
      </c>
      <c r="AU72" s="117" t="str">
        <f>IF(D72="","",VLOOKUP(F72,'9. All Habitats + Multipliers'!$C$4:$K$102,8,FALSE))</f>
        <v/>
      </c>
      <c r="AV72" s="115" t="str">
        <f>IF(AU72="","",VLOOKUP(AU72,'11. Lists'!$J$35:$K$38,2,FALSE))</f>
        <v/>
      </c>
      <c r="AW72" s="114" t="str">
        <f>IF(D72="","",VLOOKUP(D72,'10. Condition and Temporal'!$B$6:$M$103,4,FALSE))</f>
        <v/>
      </c>
      <c r="AX72" s="115" t="str">
        <f t="shared" si="22"/>
        <v/>
      </c>
      <c r="AZ72" s="206"/>
      <c r="BA72" s="93">
        <v>7</v>
      </c>
      <c r="BB72" s="95" t="str">
        <f t="shared" si="23"/>
        <v/>
      </c>
      <c r="BC72" s="95" t="str">
        <f t="shared" si="24"/>
        <v/>
      </c>
      <c r="BD72" s="95" t="str">
        <f t="shared" si="25"/>
        <v/>
      </c>
      <c r="BE72" s="95" t="str">
        <f t="shared" si="26"/>
        <v/>
      </c>
      <c r="BF72" s="95" t="str">
        <f t="shared" si="27"/>
        <v/>
      </c>
      <c r="BG72" s="95" t="str">
        <f t="shared" si="28"/>
        <v/>
      </c>
      <c r="BH72" s="95" t="str">
        <f t="shared" si="29"/>
        <v/>
      </c>
      <c r="BI72" s="95" t="str">
        <f t="shared" si="30"/>
        <v/>
      </c>
      <c r="BJ72" s="95" t="str">
        <f t="shared" si="31"/>
        <v/>
      </c>
      <c r="BK72" s="95" t="str">
        <f t="shared" si="32"/>
        <v/>
      </c>
      <c r="BL72" s="95" t="str">
        <f t="shared" si="33"/>
        <v/>
      </c>
      <c r="BM72" s="95" t="str">
        <f t="shared" si="34"/>
        <v/>
      </c>
      <c r="BN72" s="95" t="str">
        <f t="shared" si="35"/>
        <v/>
      </c>
      <c r="BO72" s="95" t="str">
        <f t="shared" si="36"/>
        <v/>
      </c>
      <c r="BP72" s="95" t="str">
        <f t="shared" si="37"/>
        <v/>
      </c>
      <c r="BQ72" s="95" t="str">
        <f t="shared" si="38"/>
        <v/>
      </c>
      <c r="BR72" s="95" t="str">
        <f t="shared" si="39"/>
        <v/>
      </c>
      <c r="BS72" s="95" t="str">
        <f t="shared" si="40"/>
        <v/>
      </c>
      <c r="BT72" s="95" t="str">
        <f t="shared" si="41"/>
        <v/>
      </c>
      <c r="BU72" s="94" t="str">
        <f t="shared" si="42"/>
        <v/>
      </c>
      <c r="BV72" s="184" t="str">
        <f t="shared" si="49"/>
        <v/>
      </c>
      <c r="BW72" s="95" t="s">
        <v>160</v>
      </c>
      <c r="BX72" s="95">
        <f>BH64</f>
        <v>0</v>
      </c>
    </row>
    <row r="73" spans="1:76" s="25" customFormat="1" ht="15.6" x14ac:dyDescent="0.3">
      <c r="B73" s="264">
        <v>8</v>
      </c>
      <c r="C73" s="119" t="str">
        <f t="shared" si="12"/>
        <v/>
      </c>
      <c r="D73" s="208" t="str">
        <f t="shared" si="43"/>
        <v/>
      </c>
      <c r="E73" s="166" t="str">
        <f t="shared" si="13"/>
        <v/>
      </c>
      <c r="F73" s="826"/>
      <c r="G73" s="827"/>
      <c r="H73" s="163" t="str">
        <f t="shared" si="14"/>
        <v/>
      </c>
      <c r="I73" s="320" t="str">
        <f t="shared" si="44"/>
        <v/>
      </c>
      <c r="J73" s="873" t="str">
        <f>IFERROR(IF(F73="","",VLOOKUP(F73,'10. Condition and Temporal'!$B$6:$F$103,5,FALSE)), "Error ▲")</f>
        <v/>
      </c>
      <c r="K73" s="874"/>
      <c r="L73" s="283" t="str">
        <f t="shared" si="45"/>
        <v/>
      </c>
      <c r="M73" s="734" t="str">
        <f t="shared" si="46"/>
        <v/>
      </c>
      <c r="N73" s="875"/>
      <c r="O73" s="74"/>
      <c r="P73" s="12"/>
      <c r="R73" s="741"/>
      <c r="T73" s="177" t="str">
        <f t="shared" si="15"/>
        <v/>
      </c>
      <c r="U73" s="114" t="str">
        <f t="shared" si="47"/>
        <v/>
      </c>
      <c r="V73" s="115" t="str">
        <f t="shared" si="16"/>
        <v/>
      </c>
      <c r="W73" s="114" t="str">
        <f t="shared" si="16"/>
        <v/>
      </c>
      <c r="X73" s="95" t="str">
        <f t="shared" si="16"/>
        <v/>
      </c>
      <c r="Y73" s="343"/>
      <c r="Z73" s="343"/>
      <c r="AA73" s="343"/>
      <c r="AB73" s="95" t="str">
        <f t="shared" si="17"/>
        <v/>
      </c>
      <c r="AC73" s="116" t="str">
        <f t="shared" si="18"/>
        <v/>
      </c>
      <c r="AD73" s="115" t="str">
        <f t="shared" si="50"/>
        <v/>
      </c>
      <c r="AE73" s="179" t="str">
        <f t="shared" si="48"/>
        <v/>
      </c>
      <c r="AF73" s="113" t="str">
        <f t="shared" si="19"/>
        <v/>
      </c>
      <c r="AG73" s="114" t="str">
        <f>IF(D73="","",VLOOKUP(F73,'9. All Habitats + Multipliers'!$C$4:$K$102,5,FALSE))</f>
        <v/>
      </c>
      <c r="AH73" s="115" t="str">
        <f>IF(AG73="","",VLOOKUP(AG73,'11. Lists'!$S$47:$U$50,2,FALSE))</f>
        <v/>
      </c>
      <c r="AI73" s="113" t="str">
        <f t="shared" si="20"/>
        <v/>
      </c>
      <c r="AJ73" s="93" t="str">
        <f>IF(AI73="","",VLOOKUP(AI73,'11. Lists'!$F$47:$G$51,2,FALSE))</f>
        <v/>
      </c>
      <c r="AK73" s="343"/>
      <c r="AL73" s="343"/>
      <c r="AM73" s="343"/>
      <c r="AN73" s="94" t="str">
        <f t="shared" si="21"/>
        <v/>
      </c>
      <c r="AO73" s="117" t="str">
        <f>IF(AN73="","",VLOOKUP(AN73,'11. Lists'!$F$36:$H$38,2,FALSE))</f>
        <v/>
      </c>
      <c r="AP73" s="115" t="str">
        <f>IF(AN73="","",VLOOKUP(AN73,'11. Lists'!$F$36:$H$38,3,FALSE))</f>
        <v/>
      </c>
      <c r="AQ73" s="114" t="str">
        <f>IF(D73="","",IF(AX73="Distinctiveness","N/A",VLOOKUP(F73,'10. Condition and Temporal'!$B$6:$L$103,11,FALSE)))</f>
        <v/>
      </c>
      <c r="AR73" s="118" t="str">
        <f>IF(AQ73="","",IF(AQ73="N/A","1",VLOOKUP(AQ73,'11. Lists'!$I$47:$K$80,3,FALSE)))</f>
        <v/>
      </c>
      <c r="AS73" s="134" t="str">
        <f>IF(D73="","",IF(AX73="Condition","N/A",VLOOKUP(F73,'10. Condition and Temporal'!$B$6:$M$106,12,FALSE)))</f>
        <v/>
      </c>
      <c r="AT73" s="118" t="str">
        <f>IF(AS73="","",IF(AS73="N/A","1",VLOOKUP(AS73,'11. Lists'!$I$47:$K$80,3,FALSE)))</f>
        <v/>
      </c>
      <c r="AU73" s="117" t="str">
        <f>IF(D73="","",VLOOKUP(F73,'9. All Habitats + Multipliers'!$C$4:$K$102,8,FALSE))</f>
        <v/>
      </c>
      <c r="AV73" s="115" t="str">
        <f>IF(AU73="","",VLOOKUP(AU73,'11. Lists'!$J$35:$K$38,2,FALSE))</f>
        <v/>
      </c>
      <c r="AW73" s="114" t="str">
        <f>IF(D73="","",VLOOKUP(D73,'10. Condition and Temporal'!$B$6:$M$103,4,FALSE))</f>
        <v/>
      </c>
      <c r="AX73" s="115" t="str">
        <f t="shared" si="22"/>
        <v/>
      </c>
      <c r="AZ73" s="206"/>
      <c r="BA73" s="93">
        <v>8</v>
      </c>
      <c r="BB73" s="95" t="str">
        <f t="shared" si="23"/>
        <v/>
      </c>
      <c r="BC73" s="95" t="str">
        <f t="shared" si="24"/>
        <v/>
      </c>
      <c r="BD73" s="95" t="str">
        <f t="shared" si="25"/>
        <v/>
      </c>
      <c r="BE73" s="95" t="str">
        <f t="shared" si="26"/>
        <v/>
      </c>
      <c r="BF73" s="95" t="str">
        <f t="shared" si="27"/>
        <v/>
      </c>
      <c r="BG73" s="95" t="str">
        <f t="shared" si="28"/>
        <v/>
      </c>
      <c r="BH73" s="95" t="str">
        <f t="shared" si="29"/>
        <v/>
      </c>
      <c r="BI73" s="95" t="str">
        <f t="shared" si="30"/>
        <v/>
      </c>
      <c r="BJ73" s="95" t="str">
        <f t="shared" si="31"/>
        <v/>
      </c>
      <c r="BK73" s="95" t="str">
        <f t="shared" si="32"/>
        <v/>
      </c>
      <c r="BL73" s="95" t="str">
        <f t="shared" si="33"/>
        <v/>
      </c>
      <c r="BM73" s="95" t="str">
        <f t="shared" si="34"/>
        <v/>
      </c>
      <c r="BN73" s="95" t="str">
        <f t="shared" si="35"/>
        <v/>
      </c>
      <c r="BO73" s="95" t="str">
        <f t="shared" si="36"/>
        <v/>
      </c>
      <c r="BP73" s="95" t="str">
        <f t="shared" si="37"/>
        <v/>
      </c>
      <c r="BQ73" s="95" t="str">
        <f t="shared" si="38"/>
        <v/>
      </c>
      <c r="BR73" s="95" t="str">
        <f t="shared" si="39"/>
        <v/>
      </c>
      <c r="BS73" s="95" t="str">
        <f t="shared" si="40"/>
        <v/>
      </c>
      <c r="BT73" s="95" t="str">
        <f t="shared" si="41"/>
        <v/>
      </c>
      <c r="BU73" s="94" t="str">
        <f t="shared" si="42"/>
        <v/>
      </c>
      <c r="BV73" s="184" t="str">
        <f t="shared" si="49"/>
        <v/>
      </c>
      <c r="BW73" s="95" t="s">
        <v>161</v>
      </c>
      <c r="BX73" s="95">
        <f>BI64</f>
        <v>0</v>
      </c>
    </row>
    <row r="74" spans="1:76" s="25" customFormat="1" ht="15.6" x14ac:dyDescent="0.3">
      <c r="B74" s="264">
        <v>9</v>
      </c>
      <c r="C74" s="119" t="str">
        <f t="shared" si="12"/>
        <v/>
      </c>
      <c r="D74" s="208" t="str">
        <f t="shared" si="43"/>
        <v/>
      </c>
      <c r="E74" s="166" t="str">
        <f t="shared" si="13"/>
        <v/>
      </c>
      <c r="F74" s="826"/>
      <c r="G74" s="827"/>
      <c r="H74" s="163" t="str">
        <f t="shared" si="14"/>
        <v/>
      </c>
      <c r="I74" s="320" t="str">
        <f t="shared" si="44"/>
        <v/>
      </c>
      <c r="J74" s="873" t="str">
        <f>IFERROR(IF(F74="","",VLOOKUP(F74,'10. Condition and Temporal'!$B$6:$F$103,5,FALSE)), "Error ▲")</f>
        <v/>
      </c>
      <c r="K74" s="874"/>
      <c r="L74" s="283" t="str">
        <f t="shared" si="45"/>
        <v/>
      </c>
      <c r="M74" s="734" t="str">
        <f t="shared" si="46"/>
        <v/>
      </c>
      <c r="N74" s="875"/>
      <c r="O74" s="74"/>
      <c r="P74" s="12"/>
      <c r="R74" s="741"/>
      <c r="T74" s="177" t="str">
        <f t="shared" si="15"/>
        <v/>
      </c>
      <c r="U74" s="114" t="str">
        <f t="shared" si="47"/>
        <v/>
      </c>
      <c r="V74" s="115" t="str">
        <f t="shared" si="16"/>
        <v/>
      </c>
      <c r="W74" s="114" t="str">
        <f t="shared" si="16"/>
        <v/>
      </c>
      <c r="X74" s="95" t="str">
        <f t="shared" si="16"/>
        <v/>
      </c>
      <c r="Y74" s="343"/>
      <c r="Z74" s="343"/>
      <c r="AA74" s="343"/>
      <c r="AB74" s="95" t="str">
        <f t="shared" si="17"/>
        <v/>
      </c>
      <c r="AC74" s="116" t="str">
        <f t="shared" si="18"/>
        <v/>
      </c>
      <c r="AD74" s="115" t="str">
        <f t="shared" si="50"/>
        <v/>
      </c>
      <c r="AE74" s="179" t="str">
        <f t="shared" si="48"/>
        <v/>
      </c>
      <c r="AF74" s="113" t="str">
        <f t="shared" si="19"/>
        <v/>
      </c>
      <c r="AG74" s="114" t="str">
        <f>IF(D74="","",VLOOKUP(F74,'9. All Habitats + Multipliers'!$C$4:$K$102,5,FALSE))</f>
        <v/>
      </c>
      <c r="AH74" s="115" t="str">
        <f>IF(AG74="","",VLOOKUP(AG74,'11. Lists'!$S$47:$U$50,2,FALSE))</f>
        <v/>
      </c>
      <c r="AI74" s="113" t="str">
        <f t="shared" si="20"/>
        <v/>
      </c>
      <c r="AJ74" s="93" t="str">
        <f>IF(AI74="","",VLOOKUP(AI74,'11. Lists'!$F$47:$G$51,2,FALSE))</f>
        <v/>
      </c>
      <c r="AK74" s="343"/>
      <c r="AL74" s="343"/>
      <c r="AM74" s="343"/>
      <c r="AN74" s="94" t="str">
        <f t="shared" si="21"/>
        <v/>
      </c>
      <c r="AO74" s="117" t="str">
        <f>IF(AN74="","",VLOOKUP(AN74,'11. Lists'!$F$36:$H$38,2,FALSE))</f>
        <v/>
      </c>
      <c r="AP74" s="115" t="str">
        <f>IF(AN74="","",VLOOKUP(AN74,'11. Lists'!$F$36:$H$38,3,FALSE))</f>
        <v/>
      </c>
      <c r="AQ74" s="114" t="str">
        <f>IF(D74="","",IF(AX74="Distinctiveness","N/A",VLOOKUP(F74,'10. Condition and Temporal'!$B$6:$L$103,11,FALSE)))</f>
        <v/>
      </c>
      <c r="AR74" s="118" t="str">
        <f>IF(AQ74="","",IF(AQ74="N/A","1",VLOOKUP(AQ74,'11. Lists'!$I$47:$K$80,3,FALSE)))</f>
        <v/>
      </c>
      <c r="AS74" s="134" t="str">
        <f>IF(D74="","",IF(AX74="Condition","N/A",VLOOKUP(F74,'10. Condition and Temporal'!$B$6:$M$106,12,FALSE)))</f>
        <v/>
      </c>
      <c r="AT74" s="118" t="str">
        <f>IF(AS74="","",IF(AS74="N/A","1",VLOOKUP(AS74,'11. Lists'!$I$47:$K$80,3,FALSE)))</f>
        <v/>
      </c>
      <c r="AU74" s="117" t="str">
        <f>IF(D74="","",VLOOKUP(F74,'9. All Habitats + Multipliers'!$C$4:$K$102,8,FALSE))</f>
        <v/>
      </c>
      <c r="AV74" s="115" t="str">
        <f>IF(AU74="","",VLOOKUP(AU74,'11. Lists'!$J$35:$K$38,2,FALSE))</f>
        <v/>
      </c>
      <c r="AW74" s="114" t="str">
        <f>IF(D74="","",VLOOKUP(D74,'10. Condition and Temporal'!$B$6:$M$103,4,FALSE))</f>
        <v/>
      </c>
      <c r="AX74" s="115" t="str">
        <f t="shared" si="22"/>
        <v/>
      </c>
      <c r="AZ74" s="206"/>
      <c r="BA74" s="93">
        <v>9</v>
      </c>
      <c r="BB74" s="95" t="str">
        <f t="shared" si="23"/>
        <v/>
      </c>
      <c r="BC74" s="95" t="str">
        <f t="shared" si="24"/>
        <v/>
      </c>
      <c r="BD74" s="95" t="str">
        <f t="shared" si="25"/>
        <v/>
      </c>
      <c r="BE74" s="95" t="str">
        <f t="shared" si="26"/>
        <v/>
      </c>
      <c r="BF74" s="95" t="str">
        <f t="shared" si="27"/>
        <v/>
      </c>
      <c r="BG74" s="95" t="str">
        <f t="shared" si="28"/>
        <v/>
      </c>
      <c r="BH74" s="95" t="str">
        <f t="shared" si="29"/>
        <v/>
      </c>
      <c r="BI74" s="95" t="str">
        <f t="shared" si="30"/>
        <v/>
      </c>
      <c r="BJ74" s="95" t="str">
        <f t="shared" si="31"/>
        <v/>
      </c>
      <c r="BK74" s="95" t="str">
        <f t="shared" si="32"/>
        <v/>
      </c>
      <c r="BL74" s="95" t="str">
        <f t="shared" si="33"/>
        <v/>
      </c>
      <c r="BM74" s="95" t="str">
        <f t="shared" si="34"/>
        <v/>
      </c>
      <c r="BN74" s="95" t="str">
        <f t="shared" si="35"/>
        <v/>
      </c>
      <c r="BO74" s="95" t="str">
        <f t="shared" si="36"/>
        <v/>
      </c>
      <c r="BP74" s="95" t="str">
        <f t="shared" si="37"/>
        <v/>
      </c>
      <c r="BQ74" s="95" t="str">
        <f t="shared" si="38"/>
        <v/>
      </c>
      <c r="BR74" s="95" t="str">
        <f t="shared" si="39"/>
        <v/>
      </c>
      <c r="BS74" s="95" t="str">
        <f t="shared" si="40"/>
        <v/>
      </c>
      <c r="BT74" s="95" t="str">
        <f t="shared" si="41"/>
        <v/>
      </c>
      <c r="BU74" s="94" t="str">
        <f t="shared" si="42"/>
        <v/>
      </c>
      <c r="BV74" s="184" t="str">
        <f t="shared" si="49"/>
        <v/>
      </c>
      <c r="BW74" s="95" t="s">
        <v>162</v>
      </c>
      <c r="BX74" s="95">
        <f>BJ64</f>
        <v>0</v>
      </c>
    </row>
    <row r="75" spans="1:76" s="25" customFormat="1" ht="15.6" x14ac:dyDescent="0.3">
      <c r="B75" s="264">
        <v>10</v>
      </c>
      <c r="C75" s="119" t="str">
        <f t="shared" si="12"/>
        <v/>
      </c>
      <c r="D75" s="208" t="str">
        <f t="shared" si="43"/>
        <v/>
      </c>
      <c r="E75" s="166" t="str">
        <f t="shared" si="13"/>
        <v/>
      </c>
      <c r="F75" s="826"/>
      <c r="G75" s="827"/>
      <c r="H75" s="163" t="str">
        <f t="shared" si="14"/>
        <v/>
      </c>
      <c r="I75" s="320" t="str">
        <f t="shared" si="44"/>
        <v/>
      </c>
      <c r="J75" s="873" t="str">
        <f>IFERROR(IF(F75="","",VLOOKUP(F75,'10. Condition and Temporal'!$B$6:$F$103,5,FALSE)), "Error ▲")</f>
        <v/>
      </c>
      <c r="K75" s="874"/>
      <c r="L75" s="283" t="str">
        <f t="shared" si="45"/>
        <v/>
      </c>
      <c r="M75" s="734" t="str">
        <f t="shared" si="46"/>
        <v/>
      </c>
      <c r="N75" s="875"/>
      <c r="O75" s="74"/>
      <c r="P75" s="12"/>
      <c r="R75" s="741"/>
      <c r="T75" s="177" t="str">
        <f t="shared" si="15"/>
        <v/>
      </c>
      <c r="U75" s="114" t="str">
        <f t="shared" si="47"/>
        <v/>
      </c>
      <c r="V75" s="115" t="str">
        <f t="shared" si="16"/>
        <v/>
      </c>
      <c r="W75" s="114" t="str">
        <f t="shared" si="16"/>
        <v/>
      </c>
      <c r="X75" s="95" t="str">
        <f t="shared" si="16"/>
        <v/>
      </c>
      <c r="Y75" s="343"/>
      <c r="Z75" s="343"/>
      <c r="AA75" s="343"/>
      <c r="AB75" s="95" t="str">
        <f t="shared" si="17"/>
        <v/>
      </c>
      <c r="AC75" s="116" t="str">
        <f t="shared" si="18"/>
        <v/>
      </c>
      <c r="AD75" s="115" t="str">
        <f t="shared" si="50"/>
        <v/>
      </c>
      <c r="AE75" s="179" t="str">
        <f t="shared" si="48"/>
        <v/>
      </c>
      <c r="AF75" s="113" t="str">
        <f t="shared" si="19"/>
        <v/>
      </c>
      <c r="AG75" s="114" t="str">
        <f>IF(D75="","",VLOOKUP(F75,'9. All Habitats + Multipliers'!$C$4:$K$102,5,FALSE))</f>
        <v/>
      </c>
      <c r="AH75" s="115" t="str">
        <f>IF(AG75="","",VLOOKUP(AG75,'11. Lists'!$S$47:$U$50,2,FALSE))</f>
        <v/>
      </c>
      <c r="AI75" s="113" t="str">
        <f t="shared" si="20"/>
        <v/>
      </c>
      <c r="AJ75" s="93" t="str">
        <f>IF(AI75="","",VLOOKUP(AI75,'11. Lists'!$F$47:$G$51,2,FALSE))</f>
        <v/>
      </c>
      <c r="AK75" s="343"/>
      <c r="AL75" s="343"/>
      <c r="AM75" s="343"/>
      <c r="AN75" s="94" t="str">
        <f t="shared" si="21"/>
        <v/>
      </c>
      <c r="AO75" s="117" t="str">
        <f>IF(AN75="","",VLOOKUP(AN75,'11. Lists'!$F$36:$H$38,2,FALSE))</f>
        <v/>
      </c>
      <c r="AP75" s="115" t="str">
        <f>IF(AN75="","",VLOOKUP(AN75,'11. Lists'!$F$36:$H$38,3,FALSE))</f>
        <v/>
      </c>
      <c r="AQ75" s="114" t="str">
        <f>IF(D75="","",IF(AX75="Distinctiveness","N/A",VLOOKUP(F75,'10. Condition and Temporal'!$B$6:$L$103,11,FALSE)))</f>
        <v/>
      </c>
      <c r="AR75" s="118" t="str">
        <f>IF(AQ75="","",IF(AQ75="N/A","1",VLOOKUP(AQ75,'11. Lists'!$I$47:$K$80,3,FALSE)))</f>
        <v/>
      </c>
      <c r="AS75" s="134" t="str">
        <f>IF(D75="","",IF(AX75="Condition","N/A",VLOOKUP(F75,'10. Condition and Temporal'!$B$6:$M$106,12,FALSE)))</f>
        <v/>
      </c>
      <c r="AT75" s="118" t="str">
        <f>IF(AS75="","",IF(AS75="N/A","1",VLOOKUP(AS75,'11. Lists'!$I$47:$K$80,3,FALSE)))</f>
        <v/>
      </c>
      <c r="AU75" s="117" t="str">
        <f>IF(D75="","",VLOOKUP(F75,'9. All Habitats + Multipliers'!$C$4:$K$102,8,FALSE))</f>
        <v/>
      </c>
      <c r="AV75" s="115" t="str">
        <f>IF(AU75="","",VLOOKUP(AU75,'11. Lists'!$J$35:$K$38,2,FALSE))</f>
        <v/>
      </c>
      <c r="AW75" s="114" t="str">
        <f>IF(D75="","",VLOOKUP(D75,'10. Condition and Temporal'!$B$6:$M$103,4,FALSE))</f>
        <v/>
      </c>
      <c r="AX75" s="115" t="str">
        <f t="shared" si="22"/>
        <v/>
      </c>
      <c r="AZ75" s="206"/>
      <c r="BA75" s="93">
        <v>10</v>
      </c>
      <c r="BB75" s="95" t="str">
        <f t="shared" si="23"/>
        <v/>
      </c>
      <c r="BC75" s="95" t="str">
        <f t="shared" si="24"/>
        <v/>
      </c>
      <c r="BD75" s="95" t="str">
        <f t="shared" si="25"/>
        <v/>
      </c>
      <c r="BE75" s="95" t="str">
        <f t="shared" si="26"/>
        <v/>
      </c>
      <c r="BF75" s="95" t="str">
        <f t="shared" si="27"/>
        <v/>
      </c>
      <c r="BG75" s="95" t="str">
        <f t="shared" si="28"/>
        <v/>
      </c>
      <c r="BH75" s="95" t="str">
        <f t="shared" si="29"/>
        <v/>
      </c>
      <c r="BI75" s="95" t="str">
        <f t="shared" si="30"/>
        <v/>
      </c>
      <c r="BJ75" s="95" t="str">
        <f t="shared" si="31"/>
        <v/>
      </c>
      <c r="BK75" s="95" t="str">
        <f t="shared" si="32"/>
        <v/>
      </c>
      <c r="BL75" s="95" t="str">
        <f t="shared" si="33"/>
        <v/>
      </c>
      <c r="BM75" s="95" t="str">
        <f t="shared" si="34"/>
        <v/>
      </c>
      <c r="BN75" s="95" t="str">
        <f t="shared" si="35"/>
        <v/>
      </c>
      <c r="BO75" s="95" t="str">
        <f t="shared" si="36"/>
        <v/>
      </c>
      <c r="BP75" s="95" t="str">
        <f t="shared" si="37"/>
        <v/>
      </c>
      <c r="BQ75" s="95" t="str">
        <f t="shared" si="38"/>
        <v/>
      </c>
      <c r="BR75" s="95" t="str">
        <f t="shared" si="39"/>
        <v/>
      </c>
      <c r="BS75" s="95" t="str">
        <f t="shared" si="40"/>
        <v/>
      </c>
      <c r="BT75" s="95" t="str">
        <f t="shared" si="41"/>
        <v/>
      </c>
      <c r="BU75" s="94" t="str">
        <f t="shared" si="42"/>
        <v/>
      </c>
      <c r="BV75" s="184" t="str">
        <f t="shared" si="49"/>
        <v/>
      </c>
      <c r="BW75" s="95" t="s">
        <v>163</v>
      </c>
      <c r="BX75" s="95">
        <f>BK64</f>
        <v>0</v>
      </c>
    </row>
    <row r="76" spans="1:76" s="25" customFormat="1" ht="15.6" x14ac:dyDescent="0.3">
      <c r="B76" s="264">
        <v>11</v>
      </c>
      <c r="C76" s="119" t="str">
        <f t="shared" si="12"/>
        <v/>
      </c>
      <c r="D76" s="208" t="str">
        <f t="shared" si="43"/>
        <v/>
      </c>
      <c r="E76" s="166" t="str">
        <f t="shared" si="13"/>
        <v/>
      </c>
      <c r="F76" s="826"/>
      <c r="G76" s="827"/>
      <c r="H76" s="163" t="str">
        <f t="shared" si="14"/>
        <v/>
      </c>
      <c r="I76" s="320" t="str">
        <f t="shared" si="44"/>
        <v/>
      </c>
      <c r="J76" s="873" t="str">
        <f>IFERROR(IF(F76="","",VLOOKUP(F76,'10. Condition and Temporal'!$B$6:$F$103,5,FALSE)), "Error ▲")</f>
        <v/>
      </c>
      <c r="K76" s="874"/>
      <c r="L76" s="283" t="str">
        <f t="shared" si="45"/>
        <v/>
      </c>
      <c r="M76" s="734" t="str">
        <f t="shared" si="46"/>
        <v/>
      </c>
      <c r="N76" s="875"/>
      <c r="O76" s="74"/>
      <c r="P76" s="12"/>
      <c r="R76" s="741"/>
      <c r="T76" s="177" t="str">
        <f t="shared" si="15"/>
        <v/>
      </c>
      <c r="U76" s="114" t="str">
        <f t="shared" si="47"/>
        <v/>
      </c>
      <c r="V76" s="115" t="str">
        <f t="shared" si="16"/>
        <v/>
      </c>
      <c r="W76" s="114" t="str">
        <f t="shared" si="16"/>
        <v/>
      </c>
      <c r="X76" s="95" t="str">
        <f t="shared" si="16"/>
        <v/>
      </c>
      <c r="Y76" s="343"/>
      <c r="Z76" s="343"/>
      <c r="AA76" s="343"/>
      <c r="AB76" s="95" t="str">
        <f t="shared" si="17"/>
        <v/>
      </c>
      <c r="AC76" s="116" t="str">
        <f t="shared" si="18"/>
        <v/>
      </c>
      <c r="AD76" s="115" t="str">
        <f t="shared" si="50"/>
        <v/>
      </c>
      <c r="AE76" s="179" t="str">
        <f t="shared" si="48"/>
        <v/>
      </c>
      <c r="AF76" s="113" t="str">
        <f t="shared" si="19"/>
        <v/>
      </c>
      <c r="AG76" s="114" t="str">
        <f>IF(D76="","",VLOOKUP(F76,'9. All Habitats + Multipliers'!$C$4:$K$102,5,FALSE))</f>
        <v/>
      </c>
      <c r="AH76" s="115" t="str">
        <f>IF(AG76="","",VLOOKUP(AG76,'11. Lists'!$S$47:$U$50,2,FALSE))</f>
        <v/>
      </c>
      <c r="AI76" s="113" t="str">
        <f t="shared" si="20"/>
        <v/>
      </c>
      <c r="AJ76" s="93" t="str">
        <f>IF(AI76="","",VLOOKUP(AI76,'11. Lists'!$F$47:$G$51,2,FALSE))</f>
        <v/>
      </c>
      <c r="AK76" s="343"/>
      <c r="AL76" s="343"/>
      <c r="AM76" s="343"/>
      <c r="AN76" s="94" t="str">
        <f t="shared" si="21"/>
        <v/>
      </c>
      <c r="AO76" s="117" t="str">
        <f>IF(AN76="","",VLOOKUP(AN76,'11. Lists'!$F$36:$H$38,2,FALSE))</f>
        <v/>
      </c>
      <c r="AP76" s="115" t="str">
        <f>IF(AN76="","",VLOOKUP(AN76,'11. Lists'!$F$36:$H$38,3,FALSE))</f>
        <v/>
      </c>
      <c r="AQ76" s="114" t="str">
        <f>IF(D76="","",IF(AX76="Distinctiveness","N/A",VLOOKUP(F76,'10. Condition and Temporal'!$B$6:$L$103,11,FALSE)))</f>
        <v/>
      </c>
      <c r="AR76" s="118" t="str">
        <f>IF(AQ76="","",IF(AQ76="N/A","1",VLOOKUP(AQ76,'11. Lists'!$I$47:$K$80,3,FALSE)))</f>
        <v/>
      </c>
      <c r="AS76" s="134" t="str">
        <f>IF(D76="","",IF(AX76="Condition","N/A",VLOOKUP(F76,'10. Condition and Temporal'!$B$6:$M$106,12,FALSE)))</f>
        <v/>
      </c>
      <c r="AT76" s="118" t="str">
        <f>IF(AS76="","",IF(AS76="N/A","1",VLOOKUP(AS76,'11. Lists'!$I$47:$K$80,3,FALSE)))</f>
        <v/>
      </c>
      <c r="AU76" s="117" t="str">
        <f>IF(D76="","",VLOOKUP(F76,'9. All Habitats + Multipliers'!$C$4:$K$102,8,FALSE))</f>
        <v/>
      </c>
      <c r="AV76" s="115" t="str">
        <f>IF(AU76="","",VLOOKUP(AU76,'11. Lists'!$J$35:$K$38,2,FALSE))</f>
        <v/>
      </c>
      <c r="AW76" s="114" t="str">
        <f>IF(D76="","",VLOOKUP(D76,'10. Condition and Temporal'!$B$6:$M$103,4,FALSE))</f>
        <v/>
      </c>
      <c r="AX76" s="115" t="str">
        <f t="shared" si="22"/>
        <v/>
      </c>
      <c r="AZ76" s="206"/>
      <c r="BA76" s="93">
        <v>11</v>
      </c>
      <c r="BB76" s="95" t="str">
        <f t="shared" si="23"/>
        <v/>
      </c>
      <c r="BC76" s="95" t="str">
        <f t="shared" si="24"/>
        <v/>
      </c>
      <c r="BD76" s="95" t="str">
        <f t="shared" si="25"/>
        <v/>
      </c>
      <c r="BE76" s="95" t="str">
        <f t="shared" si="26"/>
        <v/>
      </c>
      <c r="BF76" s="95" t="str">
        <f t="shared" si="27"/>
        <v/>
      </c>
      <c r="BG76" s="95" t="str">
        <f t="shared" si="28"/>
        <v/>
      </c>
      <c r="BH76" s="95" t="str">
        <f t="shared" si="29"/>
        <v/>
      </c>
      <c r="BI76" s="95" t="str">
        <f t="shared" si="30"/>
        <v/>
      </c>
      <c r="BJ76" s="95" t="str">
        <f t="shared" si="31"/>
        <v/>
      </c>
      <c r="BK76" s="95" t="str">
        <f t="shared" si="32"/>
        <v/>
      </c>
      <c r="BL76" s="95" t="str">
        <f t="shared" si="33"/>
        <v/>
      </c>
      <c r="BM76" s="95" t="str">
        <f t="shared" si="34"/>
        <v/>
      </c>
      <c r="BN76" s="95" t="str">
        <f t="shared" si="35"/>
        <v/>
      </c>
      <c r="BO76" s="95" t="str">
        <f t="shared" si="36"/>
        <v/>
      </c>
      <c r="BP76" s="95" t="str">
        <f t="shared" si="37"/>
        <v/>
      </c>
      <c r="BQ76" s="95" t="str">
        <f t="shared" si="38"/>
        <v/>
      </c>
      <c r="BR76" s="95" t="str">
        <f t="shared" si="39"/>
        <v/>
      </c>
      <c r="BS76" s="95" t="str">
        <f t="shared" si="40"/>
        <v/>
      </c>
      <c r="BT76" s="95" t="str">
        <f t="shared" si="41"/>
        <v/>
      </c>
      <c r="BU76" s="94" t="str">
        <f t="shared" si="42"/>
        <v/>
      </c>
      <c r="BV76" s="184" t="str">
        <f t="shared" si="49"/>
        <v/>
      </c>
      <c r="BW76" s="95" t="s">
        <v>164</v>
      </c>
      <c r="BX76" s="95">
        <f>BL64</f>
        <v>0</v>
      </c>
    </row>
    <row r="77" spans="1:76" s="25" customFormat="1" ht="15.6" x14ac:dyDescent="0.3">
      <c r="B77" s="264">
        <v>12</v>
      </c>
      <c r="C77" s="119" t="str">
        <f t="shared" si="12"/>
        <v/>
      </c>
      <c r="D77" s="208" t="str">
        <f t="shared" si="43"/>
        <v/>
      </c>
      <c r="E77" s="166" t="str">
        <f t="shared" si="13"/>
        <v/>
      </c>
      <c r="F77" s="826"/>
      <c r="G77" s="827"/>
      <c r="H77" s="163" t="str">
        <f t="shared" si="14"/>
        <v/>
      </c>
      <c r="I77" s="320" t="str">
        <f t="shared" si="44"/>
        <v/>
      </c>
      <c r="J77" s="873" t="str">
        <f>IFERROR(IF(F77="","",VLOOKUP(F77,'10. Condition and Temporal'!$B$6:$F$103,5,FALSE)), "Error ▲")</f>
        <v/>
      </c>
      <c r="K77" s="874"/>
      <c r="L77" s="283" t="str">
        <f t="shared" si="45"/>
        <v/>
      </c>
      <c r="M77" s="734" t="str">
        <f t="shared" si="46"/>
        <v/>
      </c>
      <c r="N77" s="875"/>
      <c r="O77" s="74"/>
      <c r="P77" s="12"/>
      <c r="R77" s="741"/>
      <c r="T77" s="177" t="str">
        <f t="shared" si="15"/>
        <v/>
      </c>
      <c r="U77" s="114" t="str">
        <f t="shared" si="47"/>
        <v/>
      </c>
      <c r="V77" s="115" t="str">
        <f t="shared" si="16"/>
        <v/>
      </c>
      <c r="W77" s="114" t="str">
        <f t="shared" si="16"/>
        <v/>
      </c>
      <c r="X77" s="95" t="str">
        <f t="shared" si="16"/>
        <v/>
      </c>
      <c r="Y77" s="343"/>
      <c r="Z77" s="343"/>
      <c r="AA77" s="343"/>
      <c r="AB77" s="95" t="str">
        <f t="shared" si="17"/>
        <v/>
      </c>
      <c r="AC77" s="116" t="str">
        <f t="shared" si="18"/>
        <v/>
      </c>
      <c r="AD77" s="115" t="str">
        <f t="shared" si="50"/>
        <v/>
      </c>
      <c r="AE77" s="179" t="str">
        <f t="shared" si="48"/>
        <v/>
      </c>
      <c r="AF77" s="113" t="str">
        <f t="shared" si="19"/>
        <v/>
      </c>
      <c r="AG77" s="114" t="str">
        <f>IF(D77="","",VLOOKUP(F77,'9. All Habitats + Multipliers'!$C$4:$K$102,5,FALSE))</f>
        <v/>
      </c>
      <c r="AH77" s="115" t="str">
        <f>IF(AG77="","",VLOOKUP(AG77,'11. Lists'!$S$47:$U$50,2,FALSE))</f>
        <v/>
      </c>
      <c r="AI77" s="113" t="str">
        <f t="shared" si="20"/>
        <v/>
      </c>
      <c r="AJ77" s="93" t="str">
        <f>IF(AI77="","",VLOOKUP(AI77,'11. Lists'!$F$47:$G$51,2,FALSE))</f>
        <v/>
      </c>
      <c r="AK77" s="343"/>
      <c r="AL77" s="343"/>
      <c r="AM77" s="343"/>
      <c r="AN77" s="94" t="str">
        <f t="shared" si="21"/>
        <v/>
      </c>
      <c r="AO77" s="117" t="str">
        <f>IF(AN77="","",VLOOKUP(AN77,'11. Lists'!$F$36:$H$38,2,FALSE))</f>
        <v/>
      </c>
      <c r="AP77" s="115" t="str">
        <f>IF(AN77="","",VLOOKUP(AN77,'11. Lists'!$F$36:$H$38,3,FALSE))</f>
        <v/>
      </c>
      <c r="AQ77" s="114" t="str">
        <f>IF(D77="","",IF(AX77="Distinctiveness","N/A",VLOOKUP(F77,'10. Condition and Temporal'!$B$6:$L$103,11,FALSE)))</f>
        <v/>
      </c>
      <c r="AR77" s="118" t="str">
        <f>IF(AQ77="","",IF(AQ77="N/A","1",VLOOKUP(AQ77,'11. Lists'!$I$47:$K$80,3,FALSE)))</f>
        <v/>
      </c>
      <c r="AS77" s="134" t="str">
        <f>IF(D77="","",IF(AX77="Condition","N/A",VLOOKUP(F77,'10. Condition and Temporal'!$B$6:$M$106,12,FALSE)))</f>
        <v/>
      </c>
      <c r="AT77" s="118" t="str">
        <f>IF(AS77="","",IF(AS77="N/A","1",VLOOKUP(AS77,'11. Lists'!$I$47:$K$80,3,FALSE)))</f>
        <v/>
      </c>
      <c r="AU77" s="117" t="str">
        <f>IF(D77="","",VLOOKUP(F77,'9. All Habitats + Multipliers'!$C$4:$K$102,8,FALSE))</f>
        <v/>
      </c>
      <c r="AV77" s="115" t="str">
        <f>IF(AU77="","",VLOOKUP(AU77,'11. Lists'!$J$35:$K$38,2,FALSE))</f>
        <v/>
      </c>
      <c r="AW77" s="114" t="str">
        <f>IF(D77="","",VLOOKUP(D77,'10. Condition and Temporal'!$B$6:$M$103,4,FALSE))</f>
        <v/>
      </c>
      <c r="AX77" s="115" t="str">
        <f t="shared" si="22"/>
        <v/>
      </c>
      <c r="AZ77" s="206"/>
      <c r="BA77" s="93">
        <v>12</v>
      </c>
      <c r="BB77" s="95" t="str">
        <f t="shared" si="23"/>
        <v/>
      </c>
      <c r="BC77" s="95" t="str">
        <f t="shared" si="24"/>
        <v/>
      </c>
      <c r="BD77" s="95" t="str">
        <f t="shared" si="25"/>
        <v/>
      </c>
      <c r="BE77" s="95" t="str">
        <f t="shared" si="26"/>
        <v/>
      </c>
      <c r="BF77" s="95" t="str">
        <f t="shared" si="27"/>
        <v/>
      </c>
      <c r="BG77" s="95" t="str">
        <f t="shared" si="28"/>
        <v/>
      </c>
      <c r="BH77" s="95" t="str">
        <f t="shared" si="29"/>
        <v/>
      </c>
      <c r="BI77" s="95" t="str">
        <f t="shared" si="30"/>
        <v/>
      </c>
      <c r="BJ77" s="95" t="str">
        <f t="shared" si="31"/>
        <v/>
      </c>
      <c r="BK77" s="95" t="str">
        <f t="shared" si="32"/>
        <v/>
      </c>
      <c r="BL77" s="95" t="str">
        <f t="shared" si="33"/>
        <v/>
      </c>
      <c r="BM77" s="95" t="str">
        <f t="shared" si="34"/>
        <v/>
      </c>
      <c r="BN77" s="95" t="str">
        <f t="shared" si="35"/>
        <v/>
      </c>
      <c r="BO77" s="95" t="str">
        <f t="shared" si="36"/>
        <v/>
      </c>
      <c r="BP77" s="95" t="str">
        <f t="shared" si="37"/>
        <v/>
      </c>
      <c r="BQ77" s="95" t="str">
        <f t="shared" si="38"/>
        <v/>
      </c>
      <c r="BR77" s="95" t="str">
        <f t="shared" si="39"/>
        <v/>
      </c>
      <c r="BS77" s="95" t="str">
        <f t="shared" si="40"/>
        <v/>
      </c>
      <c r="BT77" s="95" t="str">
        <f t="shared" si="41"/>
        <v/>
      </c>
      <c r="BU77" s="94" t="str">
        <f t="shared" si="42"/>
        <v/>
      </c>
      <c r="BV77" s="184" t="str">
        <f t="shared" si="49"/>
        <v/>
      </c>
      <c r="BW77" s="95" t="s">
        <v>165</v>
      </c>
      <c r="BX77" s="95">
        <f>BM64</f>
        <v>0</v>
      </c>
    </row>
    <row r="78" spans="1:76" s="25" customFormat="1" ht="15.6" x14ac:dyDescent="0.3">
      <c r="B78" s="264">
        <v>13</v>
      </c>
      <c r="C78" s="119" t="str">
        <f t="shared" si="12"/>
        <v/>
      </c>
      <c r="D78" s="208" t="str">
        <f t="shared" si="43"/>
        <v/>
      </c>
      <c r="E78" s="166" t="str">
        <f t="shared" si="13"/>
        <v/>
      </c>
      <c r="F78" s="826"/>
      <c r="G78" s="827"/>
      <c r="H78" s="163" t="str">
        <f t="shared" si="14"/>
        <v/>
      </c>
      <c r="I78" s="320" t="str">
        <f t="shared" si="44"/>
        <v/>
      </c>
      <c r="J78" s="873" t="str">
        <f>IFERROR(IF(F78="","",VLOOKUP(F78,'10. Condition and Temporal'!$B$6:$F$103,5,FALSE)), "Error ▲")</f>
        <v/>
      </c>
      <c r="K78" s="874"/>
      <c r="L78" s="283" t="str">
        <f>IFERROR(IF(D78="","",IF(AX78="Distinctiveness",(((((I78*AH78*AJ78)-(I78*V78*X78))*(AV78*AT78))+(I78*V78*X78))*AP78/1000),((((I78*AH78*AJ78)-(I78*V78*X78))*(AV78*AR78))+(I78*V78*X78))*AP78/1000)),"This intervention is not permitted within the SSM ▲")</f>
        <v/>
      </c>
      <c r="M78" s="734" t="str">
        <f t="shared" si="46"/>
        <v/>
      </c>
      <c r="N78" s="875"/>
      <c r="O78" s="74"/>
      <c r="P78" s="12"/>
      <c r="R78" s="741"/>
      <c r="T78" s="177" t="str">
        <f t="shared" si="15"/>
        <v/>
      </c>
      <c r="U78" s="114" t="str">
        <f t="shared" si="47"/>
        <v/>
      </c>
      <c r="V78" s="115" t="str">
        <f t="shared" si="16"/>
        <v/>
      </c>
      <c r="W78" s="114" t="str">
        <f t="shared" si="16"/>
        <v/>
      </c>
      <c r="X78" s="95" t="str">
        <f t="shared" si="16"/>
        <v/>
      </c>
      <c r="Y78" s="343"/>
      <c r="Z78" s="343"/>
      <c r="AA78" s="343"/>
      <c r="AB78" s="95" t="str">
        <f t="shared" si="17"/>
        <v/>
      </c>
      <c r="AC78" s="116" t="str">
        <f t="shared" si="18"/>
        <v/>
      </c>
      <c r="AD78" s="115" t="str">
        <f t="shared" si="50"/>
        <v/>
      </c>
      <c r="AE78" s="179" t="str">
        <f t="shared" si="48"/>
        <v/>
      </c>
      <c r="AF78" s="113" t="str">
        <f t="shared" si="19"/>
        <v/>
      </c>
      <c r="AG78" s="114" t="str">
        <f>IF(D78="","",VLOOKUP(F78,'9. All Habitats + Multipliers'!$C$4:$K$102,5,FALSE))</f>
        <v/>
      </c>
      <c r="AH78" s="115" t="str">
        <f>IF(AG78="","",VLOOKUP(AG78,'11. Lists'!$S$47:$U$50,2,FALSE))</f>
        <v/>
      </c>
      <c r="AI78" s="113" t="str">
        <f t="shared" si="20"/>
        <v/>
      </c>
      <c r="AJ78" s="93" t="str">
        <f>IF(AI78="","",VLOOKUP(AI78,'11. Lists'!$F$47:$G$51,2,FALSE))</f>
        <v/>
      </c>
      <c r="AK78" s="343"/>
      <c r="AL78" s="343"/>
      <c r="AM78" s="343"/>
      <c r="AN78" s="94" t="str">
        <f t="shared" si="21"/>
        <v/>
      </c>
      <c r="AO78" s="117" t="str">
        <f>IF(AN78="","",VLOOKUP(AN78,'11. Lists'!$F$36:$H$38,2,FALSE))</f>
        <v/>
      </c>
      <c r="AP78" s="115" t="str">
        <f>IF(AN78="","",VLOOKUP(AN78,'11. Lists'!$F$36:$H$38,3,FALSE))</f>
        <v/>
      </c>
      <c r="AQ78" s="114" t="str">
        <f>IF(D78="","",IF(AX78="Distinctiveness","N/A",VLOOKUP(F78,'10. Condition and Temporal'!$B$6:$L$103,11,FALSE)))</f>
        <v/>
      </c>
      <c r="AR78" s="118" t="str">
        <f>IF(AQ78="","",IF(AQ78="N/A","1",VLOOKUP(AQ78,'11. Lists'!$I$47:$K$80,3,FALSE)))</f>
        <v/>
      </c>
      <c r="AS78" s="134" t="str">
        <f>IF(D78="","",IF(AX78="Condition","N/A",VLOOKUP(F78,'10. Condition and Temporal'!$B$6:$M$106,12,FALSE)))</f>
        <v/>
      </c>
      <c r="AT78" s="118" t="str">
        <f>IF(AS78="","",IF(AS78="N/A","1",VLOOKUP(AS78,'11. Lists'!$I$47:$K$80,3,FALSE)))</f>
        <v/>
      </c>
      <c r="AU78" s="117" t="str">
        <f>IF(D78="","",VLOOKUP(F78,'9. All Habitats + Multipliers'!$C$4:$K$102,8,FALSE))</f>
        <v/>
      </c>
      <c r="AV78" s="115" t="str">
        <f>IF(AU78="","",VLOOKUP(AU78,'11. Lists'!$J$35:$K$38,2,FALSE))</f>
        <v/>
      </c>
      <c r="AW78" s="114" t="str">
        <f>IF(D78="","",VLOOKUP(D78,'10. Condition and Temporal'!$B$6:$M$103,4,FALSE))</f>
        <v/>
      </c>
      <c r="AX78" s="115" t="str">
        <f t="shared" si="22"/>
        <v/>
      </c>
      <c r="AZ78" s="206"/>
      <c r="BA78" s="93">
        <v>13</v>
      </c>
      <c r="BB78" s="95" t="str">
        <f t="shared" si="23"/>
        <v/>
      </c>
      <c r="BC78" s="95" t="str">
        <f t="shared" si="24"/>
        <v/>
      </c>
      <c r="BD78" s="95" t="str">
        <f t="shared" si="25"/>
        <v/>
      </c>
      <c r="BE78" s="95" t="str">
        <f t="shared" si="26"/>
        <v/>
      </c>
      <c r="BF78" s="95" t="str">
        <f t="shared" si="27"/>
        <v/>
      </c>
      <c r="BG78" s="95" t="str">
        <f t="shared" si="28"/>
        <v/>
      </c>
      <c r="BH78" s="95" t="str">
        <f t="shared" si="29"/>
        <v/>
      </c>
      <c r="BI78" s="95" t="str">
        <f t="shared" si="30"/>
        <v/>
      </c>
      <c r="BJ78" s="95" t="str">
        <f t="shared" si="31"/>
        <v/>
      </c>
      <c r="BK78" s="95" t="str">
        <f t="shared" si="32"/>
        <v/>
      </c>
      <c r="BL78" s="95" t="str">
        <f t="shared" si="33"/>
        <v/>
      </c>
      <c r="BM78" s="95" t="str">
        <f t="shared" si="34"/>
        <v/>
      </c>
      <c r="BN78" s="95" t="str">
        <f t="shared" si="35"/>
        <v/>
      </c>
      <c r="BO78" s="95" t="str">
        <f t="shared" si="36"/>
        <v/>
      </c>
      <c r="BP78" s="95" t="str">
        <f t="shared" si="37"/>
        <v/>
      </c>
      <c r="BQ78" s="95" t="str">
        <f t="shared" si="38"/>
        <v/>
      </c>
      <c r="BR78" s="95" t="str">
        <f t="shared" si="39"/>
        <v/>
      </c>
      <c r="BS78" s="95" t="str">
        <f t="shared" si="40"/>
        <v/>
      </c>
      <c r="BT78" s="95" t="str">
        <f t="shared" si="41"/>
        <v/>
      </c>
      <c r="BU78" s="94" t="str">
        <f t="shared" si="42"/>
        <v/>
      </c>
      <c r="BV78" s="184" t="str">
        <f t="shared" si="49"/>
        <v/>
      </c>
      <c r="BW78" s="95" t="s">
        <v>166</v>
      </c>
      <c r="BX78" s="95">
        <f>BN64</f>
        <v>0</v>
      </c>
    </row>
    <row r="79" spans="1:76" s="25" customFormat="1" ht="15.6" x14ac:dyDescent="0.3">
      <c r="B79" s="264">
        <v>14</v>
      </c>
      <c r="C79" s="119" t="str">
        <f t="shared" si="12"/>
        <v/>
      </c>
      <c r="D79" s="208" t="str">
        <f t="shared" si="43"/>
        <v/>
      </c>
      <c r="E79" s="166" t="str">
        <f t="shared" si="13"/>
        <v/>
      </c>
      <c r="F79" s="826"/>
      <c r="G79" s="827"/>
      <c r="H79" s="163" t="str">
        <f t="shared" si="14"/>
        <v/>
      </c>
      <c r="I79" s="320" t="str">
        <f t="shared" si="44"/>
        <v/>
      </c>
      <c r="J79" s="873" t="str">
        <f>IFERROR(IF(F79="","",VLOOKUP(F79,'10. Condition and Temporal'!$B$6:$F$103,5,FALSE)), "Error ▲")</f>
        <v/>
      </c>
      <c r="K79" s="874"/>
      <c r="L79" s="283" t="str">
        <f t="shared" si="45"/>
        <v/>
      </c>
      <c r="M79" s="734" t="str">
        <f t="shared" si="46"/>
        <v/>
      </c>
      <c r="N79" s="875"/>
      <c r="O79" s="74"/>
      <c r="P79" s="12"/>
      <c r="R79" s="741"/>
      <c r="T79" s="177" t="str">
        <f t="shared" si="15"/>
        <v/>
      </c>
      <c r="U79" s="114" t="str">
        <f t="shared" si="47"/>
        <v/>
      </c>
      <c r="V79" s="115" t="str">
        <f t="shared" si="16"/>
        <v/>
      </c>
      <c r="W79" s="114" t="str">
        <f t="shared" si="16"/>
        <v/>
      </c>
      <c r="X79" s="95" t="str">
        <f t="shared" si="16"/>
        <v/>
      </c>
      <c r="Y79" s="343"/>
      <c r="Z79" s="343"/>
      <c r="AA79" s="343"/>
      <c r="AB79" s="95" t="str">
        <f t="shared" si="17"/>
        <v/>
      </c>
      <c r="AC79" s="116" t="str">
        <f t="shared" si="18"/>
        <v/>
      </c>
      <c r="AD79" s="115" t="str">
        <f t="shared" si="50"/>
        <v/>
      </c>
      <c r="AE79" s="179" t="str">
        <f t="shared" si="48"/>
        <v/>
      </c>
      <c r="AF79" s="113" t="str">
        <f t="shared" si="19"/>
        <v/>
      </c>
      <c r="AG79" s="114" t="str">
        <f>IF(D79="","",VLOOKUP(F79,'9. All Habitats + Multipliers'!$C$4:$K$102,5,FALSE))</f>
        <v/>
      </c>
      <c r="AH79" s="115" t="str">
        <f>IF(AG79="","",VLOOKUP(AG79,'11. Lists'!$S$47:$U$50,2,FALSE))</f>
        <v/>
      </c>
      <c r="AI79" s="113" t="str">
        <f t="shared" si="20"/>
        <v/>
      </c>
      <c r="AJ79" s="93" t="str">
        <f>IF(AI79="","",VLOOKUP(AI79,'11. Lists'!$F$47:$G$51,2,FALSE))</f>
        <v/>
      </c>
      <c r="AK79" s="343"/>
      <c r="AL79" s="343"/>
      <c r="AM79" s="343"/>
      <c r="AN79" s="94" t="str">
        <f t="shared" si="21"/>
        <v/>
      </c>
      <c r="AO79" s="117" t="str">
        <f>IF(AN79="","",VLOOKUP(AN79,'11. Lists'!$F$36:$H$38,2,FALSE))</f>
        <v/>
      </c>
      <c r="AP79" s="115" t="str">
        <f>IF(AN79="","",VLOOKUP(AN79,'11. Lists'!$F$36:$H$38,3,FALSE))</f>
        <v/>
      </c>
      <c r="AQ79" s="114" t="str">
        <f>IF(D79="","",IF(AX79="Distinctiveness","N/A",VLOOKUP(F79,'10. Condition and Temporal'!$B$6:$L$103,11,FALSE)))</f>
        <v/>
      </c>
      <c r="AR79" s="118" t="str">
        <f>IF(AQ79="","",IF(AQ79="N/A","1",VLOOKUP(AQ79,'11. Lists'!$I$47:$K$80,3,FALSE)))</f>
        <v/>
      </c>
      <c r="AS79" s="134" t="str">
        <f>IF(D79="","",IF(AX79="Condition","N/A",VLOOKUP(F79,'10. Condition and Temporal'!$B$6:$M$106,12,FALSE)))</f>
        <v/>
      </c>
      <c r="AT79" s="118" t="str">
        <f>IF(AS79="","",IF(AS79="N/A","1",VLOOKUP(AS79,'11. Lists'!$I$47:$K$80,3,FALSE)))</f>
        <v/>
      </c>
      <c r="AU79" s="117" t="str">
        <f>IF(D79="","",VLOOKUP(F79,'9. All Habitats + Multipliers'!$C$4:$K$102,8,FALSE))</f>
        <v/>
      </c>
      <c r="AV79" s="115" t="str">
        <f>IF(AU79="","",VLOOKUP(AU79,'11. Lists'!$J$35:$K$38,2,FALSE))</f>
        <v/>
      </c>
      <c r="AW79" s="114" t="str">
        <f>IF(D79="","",VLOOKUP(D79,'10. Condition and Temporal'!$B$6:$M$103,4,FALSE))</f>
        <v/>
      </c>
      <c r="AX79" s="115" t="str">
        <f t="shared" si="22"/>
        <v/>
      </c>
      <c r="AZ79" s="206"/>
      <c r="BA79" s="93">
        <v>14</v>
      </c>
      <c r="BB79" s="95" t="str">
        <f t="shared" si="23"/>
        <v/>
      </c>
      <c r="BC79" s="95" t="str">
        <f t="shared" si="24"/>
        <v/>
      </c>
      <c r="BD79" s="95" t="str">
        <f t="shared" si="25"/>
        <v/>
      </c>
      <c r="BE79" s="95" t="str">
        <f t="shared" si="26"/>
        <v/>
      </c>
      <c r="BF79" s="95" t="str">
        <f t="shared" si="27"/>
        <v/>
      </c>
      <c r="BG79" s="95" t="str">
        <f t="shared" si="28"/>
        <v/>
      </c>
      <c r="BH79" s="95" t="str">
        <f t="shared" si="29"/>
        <v/>
      </c>
      <c r="BI79" s="95" t="str">
        <f t="shared" si="30"/>
        <v/>
      </c>
      <c r="BJ79" s="95" t="str">
        <f t="shared" si="31"/>
        <v/>
      </c>
      <c r="BK79" s="95" t="str">
        <f t="shared" si="32"/>
        <v/>
      </c>
      <c r="BL79" s="95" t="str">
        <f t="shared" si="33"/>
        <v/>
      </c>
      <c r="BM79" s="95" t="str">
        <f t="shared" si="34"/>
        <v/>
      </c>
      <c r="BN79" s="95" t="str">
        <f t="shared" si="35"/>
        <v/>
      </c>
      <c r="BO79" s="95" t="str">
        <f t="shared" si="36"/>
        <v/>
      </c>
      <c r="BP79" s="95" t="str">
        <f t="shared" si="37"/>
        <v/>
      </c>
      <c r="BQ79" s="95" t="str">
        <f t="shared" si="38"/>
        <v/>
      </c>
      <c r="BR79" s="95" t="str">
        <f t="shared" si="39"/>
        <v/>
      </c>
      <c r="BS79" s="95" t="str">
        <f t="shared" si="40"/>
        <v/>
      </c>
      <c r="BT79" s="95" t="str">
        <f t="shared" si="41"/>
        <v/>
      </c>
      <c r="BU79" s="94" t="str">
        <f t="shared" si="42"/>
        <v/>
      </c>
      <c r="BV79" s="184" t="str">
        <f t="shared" si="49"/>
        <v/>
      </c>
      <c r="BW79" s="95" t="s">
        <v>167</v>
      </c>
      <c r="BX79" s="95">
        <f>BO64</f>
        <v>0</v>
      </c>
    </row>
    <row r="80" spans="1:76" s="25" customFormat="1" ht="15.6" x14ac:dyDescent="0.3">
      <c r="B80" s="264">
        <v>15</v>
      </c>
      <c r="C80" s="119" t="str">
        <f t="shared" si="12"/>
        <v/>
      </c>
      <c r="D80" s="208" t="str">
        <f t="shared" si="43"/>
        <v/>
      </c>
      <c r="E80" s="166" t="str">
        <f t="shared" si="13"/>
        <v/>
      </c>
      <c r="F80" s="826"/>
      <c r="G80" s="827"/>
      <c r="H80" s="163" t="str">
        <f t="shared" si="14"/>
        <v/>
      </c>
      <c r="I80" s="320" t="str">
        <f t="shared" si="44"/>
        <v/>
      </c>
      <c r="J80" s="873" t="str">
        <f>IFERROR(IF(F80="","",VLOOKUP(F80,'10. Condition and Temporal'!$B$6:$F$103,5,FALSE)), "Error ▲")</f>
        <v/>
      </c>
      <c r="K80" s="874"/>
      <c r="L80" s="283" t="str">
        <f t="shared" si="45"/>
        <v/>
      </c>
      <c r="M80" s="734" t="str">
        <f t="shared" si="46"/>
        <v/>
      </c>
      <c r="N80" s="875"/>
      <c r="O80" s="74"/>
      <c r="P80" s="12"/>
      <c r="R80" s="741"/>
      <c r="T80" s="177" t="str">
        <f t="shared" si="15"/>
        <v/>
      </c>
      <c r="U80" s="114" t="str">
        <f t="shared" si="47"/>
        <v/>
      </c>
      <c r="V80" s="115" t="str">
        <f t="shared" si="16"/>
        <v/>
      </c>
      <c r="W80" s="114" t="str">
        <f t="shared" si="16"/>
        <v/>
      </c>
      <c r="X80" s="95" t="str">
        <f t="shared" si="16"/>
        <v/>
      </c>
      <c r="Y80" s="343"/>
      <c r="Z80" s="343"/>
      <c r="AA80" s="343"/>
      <c r="AB80" s="95" t="str">
        <f t="shared" si="17"/>
        <v/>
      </c>
      <c r="AC80" s="116" t="str">
        <f t="shared" si="18"/>
        <v/>
      </c>
      <c r="AD80" s="115" t="str">
        <f t="shared" si="50"/>
        <v/>
      </c>
      <c r="AE80" s="179" t="str">
        <f t="shared" si="48"/>
        <v/>
      </c>
      <c r="AF80" s="113" t="str">
        <f t="shared" si="19"/>
        <v/>
      </c>
      <c r="AG80" s="114" t="str">
        <f>IF(D80="","",VLOOKUP(F80,'9. All Habitats + Multipliers'!$C$4:$K$102,5,FALSE))</f>
        <v/>
      </c>
      <c r="AH80" s="115" t="str">
        <f>IF(AG80="","",VLOOKUP(AG80,'11. Lists'!$S$47:$U$50,2,FALSE))</f>
        <v/>
      </c>
      <c r="AI80" s="113" t="str">
        <f t="shared" si="20"/>
        <v/>
      </c>
      <c r="AJ80" s="93" t="str">
        <f>IF(AI80="","",VLOOKUP(AI80,'11. Lists'!$F$47:$G$51,2,FALSE))</f>
        <v/>
      </c>
      <c r="AK80" s="343"/>
      <c r="AL80" s="343"/>
      <c r="AM80" s="343"/>
      <c r="AN80" s="94" t="str">
        <f t="shared" si="21"/>
        <v/>
      </c>
      <c r="AO80" s="117" t="str">
        <f>IF(AN80="","",VLOOKUP(AN80,'11. Lists'!$F$36:$H$38,2,FALSE))</f>
        <v/>
      </c>
      <c r="AP80" s="115" t="str">
        <f>IF(AN80="","",VLOOKUP(AN80,'11. Lists'!$F$36:$H$38,3,FALSE))</f>
        <v/>
      </c>
      <c r="AQ80" s="114" t="str">
        <f>IF(D80="","",IF(AX80="Distinctiveness","N/A",VLOOKUP(F80,'10. Condition and Temporal'!$B$6:$L$103,11,FALSE)))</f>
        <v/>
      </c>
      <c r="AR80" s="118" t="str">
        <f>IF(AQ80="","",IF(AQ80="N/A","1",VLOOKUP(AQ80,'11. Lists'!$I$47:$K$80,3,FALSE)))</f>
        <v/>
      </c>
      <c r="AS80" s="134" t="str">
        <f>IF(D80="","",IF(AX80="Condition","N/A",VLOOKUP(F80,'10. Condition and Temporal'!$B$6:$M$106,12,FALSE)))</f>
        <v/>
      </c>
      <c r="AT80" s="118" t="str">
        <f>IF(AS80="","",IF(AS80="N/A","1",VLOOKUP(AS80,'11. Lists'!$I$47:$K$80,3,FALSE)))</f>
        <v/>
      </c>
      <c r="AU80" s="117" t="str">
        <f>IF(D80="","",VLOOKUP(F80,'9. All Habitats + Multipliers'!$C$4:$K$102,8,FALSE))</f>
        <v/>
      </c>
      <c r="AV80" s="115" t="str">
        <f>IF(AU80="","",VLOOKUP(AU80,'11. Lists'!$J$35:$K$38,2,FALSE))</f>
        <v/>
      </c>
      <c r="AW80" s="114" t="str">
        <f>IF(D80="","",VLOOKUP(D80,'10. Condition and Temporal'!$B$6:$M$103,4,FALSE))</f>
        <v/>
      </c>
      <c r="AX80" s="115" t="str">
        <f t="shared" si="22"/>
        <v/>
      </c>
      <c r="AZ80" s="206"/>
      <c r="BA80" s="93">
        <v>15</v>
      </c>
      <c r="BB80" s="95" t="str">
        <f t="shared" si="23"/>
        <v/>
      </c>
      <c r="BC80" s="95" t="str">
        <f t="shared" si="24"/>
        <v/>
      </c>
      <c r="BD80" s="95" t="str">
        <f t="shared" si="25"/>
        <v/>
      </c>
      <c r="BE80" s="95" t="str">
        <f t="shared" si="26"/>
        <v/>
      </c>
      <c r="BF80" s="95" t="str">
        <f t="shared" si="27"/>
        <v/>
      </c>
      <c r="BG80" s="95" t="str">
        <f t="shared" si="28"/>
        <v/>
      </c>
      <c r="BH80" s="95" t="str">
        <f t="shared" si="29"/>
        <v/>
      </c>
      <c r="BI80" s="95" t="str">
        <f t="shared" si="30"/>
        <v/>
      </c>
      <c r="BJ80" s="95" t="str">
        <f t="shared" si="31"/>
        <v/>
      </c>
      <c r="BK80" s="95" t="str">
        <f t="shared" si="32"/>
        <v/>
      </c>
      <c r="BL80" s="95" t="str">
        <f t="shared" si="33"/>
        <v/>
      </c>
      <c r="BM80" s="95" t="str">
        <f t="shared" si="34"/>
        <v/>
      </c>
      <c r="BN80" s="95" t="str">
        <f t="shared" si="35"/>
        <v/>
      </c>
      <c r="BO80" s="95" t="str">
        <f t="shared" si="36"/>
        <v/>
      </c>
      <c r="BP80" s="95" t="str">
        <f t="shared" si="37"/>
        <v/>
      </c>
      <c r="BQ80" s="95" t="str">
        <f t="shared" si="38"/>
        <v/>
      </c>
      <c r="BR80" s="95" t="str">
        <f t="shared" si="39"/>
        <v/>
      </c>
      <c r="BS80" s="95" t="str">
        <f t="shared" si="40"/>
        <v/>
      </c>
      <c r="BT80" s="95" t="str">
        <f t="shared" si="41"/>
        <v/>
      </c>
      <c r="BU80" s="94" t="str">
        <f t="shared" si="42"/>
        <v/>
      </c>
      <c r="BV80" s="184" t="str">
        <f t="shared" si="49"/>
        <v/>
      </c>
      <c r="BW80" s="95" t="s">
        <v>168</v>
      </c>
      <c r="BX80" s="95">
        <f>BP64</f>
        <v>0</v>
      </c>
    </row>
    <row r="81" spans="1:76" s="25" customFormat="1" ht="15.6" x14ac:dyDescent="0.3">
      <c r="B81" s="264">
        <v>16</v>
      </c>
      <c r="C81" s="119" t="str">
        <f t="shared" si="12"/>
        <v/>
      </c>
      <c r="D81" s="208" t="str">
        <f t="shared" si="43"/>
        <v/>
      </c>
      <c r="E81" s="166" t="str">
        <f t="shared" si="13"/>
        <v/>
      </c>
      <c r="F81" s="826"/>
      <c r="G81" s="827"/>
      <c r="H81" s="163" t="str">
        <f t="shared" si="14"/>
        <v/>
      </c>
      <c r="I81" s="320" t="str">
        <f t="shared" si="44"/>
        <v/>
      </c>
      <c r="J81" s="873" t="str">
        <f>IFERROR(IF(F81="","",VLOOKUP(F81,'10. Condition and Temporal'!$B$6:$F$103,5,FALSE)), "Error ▲")</f>
        <v/>
      </c>
      <c r="K81" s="874"/>
      <c r="L81" s="283" t="str">
        <f t="shared" si="45"/>
        <v/>
      </c>
      <c r="M81" s="734" t="str">
        <f t="shared" si="46"/>
        <v/>
      </c>
      <c r="N81" s="875"/>
      <c r="O81" s="74"/>
      <c r="P81" s="12"/>
      <c r="R81" s="741"/>
      <c r="T81" s="177" t="str">
        <f t="shared" si="15"/>
        <v/>
      </c>
      <c r="U81" s="114" t="str">
        <f t="shared" si="47"/>
        <v/>
      </c>
      <c r="V81" s="115" t="str">
        <f t="shared" si="16"/>
        <v/>
      </c>
      <c r="W81" s="114" t="str">
        <f t="shared" si="16"/>
        <v/>
      </c>
      <c r="X81" s="95" t="str">
        <f t="shared" si="16"/>
        <v/>
      </c>
      <c r="Y81" s="343"/>
      <c r="Z81" s="343"/>
      <c r="AA81" s="343"/>
      <c r="AB81" s="95" t="str">
        <f t="shared" si="17"/>
        <v/>
      </c>
      <c r="AC81" s="116" t="str">
        <f t="shared" si="18"/>
        <v/>
      </c>
      <c r="AD81" s="115" t="str">
        <f t="shared" si="50"/>
        <v/>
      </c>
      <c r="AE81" s="179" t="str">
        <f t="shared" si="48"/>
        <v/>
      </c>
      <c r="AF81" s="113" t="str">
        <f t="shared" si="19"/>
        <v/>
      </c>
      <c r="AG81" s="114" t="str">
        <f>IF(D81="","",VLOOKUP(F81,'9. All Habitats + Multipliers'!$C$4:$K$102,5,FALSE))</f>
        <v/>
      </c>
      <c r="AH81" s="115" t="str">
        <f>IF(AG81="","",VLOOKUP(AG81,'11. Lists'!$S$47:$U$50,2,FALSE))</f>
        <v/>
      </c>
      <c r="AI81" s="113" t="str">
        <f t="shared" si="20"/>
        <v/>
      </c>
      <c r="AJ81" s="93" t="str">
        <f>IF(AI81="","",VLOOKUP(AI81,'11. Lists'!$F$47:$G$51,2,FALSE))</f>
        <v/>
      </c>
      <c r="AK81" s="343"/>
      <c r="AL81" s="343"/>
      <c r="AM81" s="343"/>
      <c r="AN81" s="94" t="str">
        <f t="shared" si="21"/>
        <v/>
      </c>
      <c r="AO81" s="117" t="str">
        <f>IF(AN81="","",VLOOKUP(AN81,'11. Lists'!$F$36:$H$38,2,FALSE))</f>
        <v/>
      </c>
      <c r="AP81" s="115" t="str">
        <f>IF(AN81="","",VLOOKUP(AN81,'11. Lists'!$F$36:$H$38,3,FALSE))</f>
        <v/>
      </c>
      <c r="AQ81" s="114" t="str">
        <f>IF(D81="","",IF(AX81="Distinctiveness","N/A",VLOOKUP(F81,'10. Condition and Temporal'!$B$6:$L$103,11,FALSE)))</f>
        <v/>
      </c>
      <c r="AR81" s="118" t="str">
        <f>IF(AQ81="","",IF(AQ81="N/A","1",VLOOKUP(AQ81,'11. Lists'!$I$47:$K$80,3,FALSE)))</f>
        <v/>
      </c>
      <c r="AS81" s="134" t="str">
        <f>IF(D81="","",IF(AX81="Condition","N/A",VLOOKUP(F81,'10. Condition and Temporal'!$B$6:$M$106,12,FALSE)))</f>
        <v/>
      </c>
      <c r="AT81" s="118" t="str">
        <f>IF(AS81="","",IF(AS81="N/A","1",VLOOKUP(AS81,'11. Lists'!$I$47:$K$80,3,FALSE)))</f>
        <v/>
      </c>
      <c r="AU81" s="117" t="str">
        <f>IF(D81="","",VLOOKUP(F81,'9. All Habitats + Multipliers'!$C$4:$K$102,8,FALSE))</f>
        <v/>
      </c>
      <c r="AV81" s="115" t="str">
        <f>IF(AU81="","",VLOOKUP(AU81,'11. Lists'!$J$35:$K$38,2,FALSE))</f>
        <v/>
      </c>
      <c r="AW81" s="114" t="str">
        <f>IF(D81="","",VLOOKUP(D81,'10. Condition and Temporal'!$B$6:$M$103,4,FALSE))</f>
        <v/>
      </c>
      <c r="AX81" s="115" t="str">
        <f t="shared" si="22"/>
        <v/>
      </c>
      <c r="AZ81" s="206"/>
      <c r="BA81" s="93">
        <v>16</v>
      </c>
      <c r="BB81" s="95" t="str">
        <f t="shared" si="23"/>
        <v/>
      </c>
      <c r="BC81" s="95" t="str">
        <f t="shared" si="24"/>
        <v/>
      </c>
      <c r="BD81" s="95" t="str">
        <f t="shared" si="25"/>
        <v/>
      </c>
      <c r="BE81" s="95" t="str">
        <f t="shared" si="26"/>
        <v/>
      </c>
      <c r="BF81" s="95" t="str">
        <f t="shared" si="27"/>
        <v/>
      </c>
      <c r="BG81" s="95" t="str">
        <f t="shared" si="28"/>
        <v/>
      </c>
      <c r="BH81" s="95" t="str">
        <f t="shared" si="29"/>
        <v/>
      </c>
      <c r="BI81" s="95" t="str">
        <f t="shared" si="30"/>
        <v/>
      </c>
      <c r="BJ81" s="95" t="str">
        <f t="shared" si="31"/>
        <v/>
      </c>
      <c r="BK81" s="95" t="str">
        <f t="shared" si="32"/>
        <v/>
      </c>
      <c r="BL81" s="95" t="str">
        <f t="shared" si="33"/>
        <v/>
      </c>
      <c r="BM81" s="95" t="str">
        <f t="shared" si="34"/>
        <v/>
      </c>
      <c r="BN81" s="95" t="str">
        <f t="shared" si="35"/>
        <v/>
      </c>
      <c r="BO81" s="95" t="str">
        <f t="shared" si="36"/>
        <v/>
      </c>
      <c r="BP81" s="95" t="str">
        <f t="shared" si="37"/>
        <v/>
      </c>
      <c r="BQ81" s="95" t="str">
        <f t="shared" si="38"/>
        <v/>
      </c>
      <c r="BR81" s="95" t="str">
        <f t="shared" si="39"/>
        <v/>
      </c>
      <c r="BS81" s="95" t="str">
        <f t="shared" si="40"/>
        <v/>
      </c>
      <c r="BT81" s="95" t="str">
        <f t="shared" si="41"/>
        <v/>
      </c>
      <c r="BU81" s="94" t="str">
        <f t="shared" si="42"/>
        <v/>
      </c>
      <c r="BV81" s="184" t="str">
        <f t="shared" si="49"/>
        <v/>
      </c>
      <c r="BW81" s="95" t="s">
        <v>169</v>
      </c>
      <c r="BX81" s="95">
        <f>BQ64</f>
        <v>0</v>
      </c>
    </row>
    <row r="82" spans="1:76" s="25" customFormat="1" ht="15.6" x14ac:dyDescent="0.3">
      <c r="B82" s="264">
        <v>17</v>
      </c>
      <c r="C82" s="119" t="str">
        <f t="shared" si="12"/>
        <v/>
      </c>
      <c r="D82" s="208" t="str">
        <f t="shared" si="43"/>
        <v/>
      </c>
      <c r="E82" s="166" t="str">
        <f t="shared" si="13"/>
        <v/>
      </c>
      <c r="F82" s="826"/>
      <c r="G82" s="827"/>
      <c r="H82" s="163" t="str">
        <f t="shared" si="14"/>
        <v/>
      </c>
      <c r="I82" s="320" t="str">
        <f t="shared" si="44"/>
        <v/>
      </c>
      <c r="J82" s="873" t="str">
        <f>IFERROR(IF(F82="","",VLOOKUP(F82,'10. Condition and Temporal'!$B$6:$F$103,5,FALSE)), "Error ▲")</f>
        <v/>
      </c>
      <c r="K82" s="874"/>
      <c r="L82" s="283" t="str">
        <f t="shared" si="45"/>
        <v/>
      </c>
      <c r="M82" s="734" t="str">
        <f t="shared" si="46"/>
        <v/>
      </c>
      <c r="N82" s="875"/>
      <c r="O82" s="74"/>
      <c r="P82" s="12"/>
      <c r="R82" s="741"/>
      <c r="T82" s="177" t="str">
        <f t="shared" si="15"/>
        <v/>
      </c>
      <c r="U82" s="114" t="str">
        <f t="shared" si="47"/>
        <v/>
      </c>
      <c r="V82" s="115" t="str">
        <f t="shared" si="16"/>
        <v/>
      </c>
      <c r="W82" s="114" t="str">
        <f t="shared" si="16"/>
        <v/>
      </c>
      <c r="X82" s="95" t="str">
        <f t="shared" si="16"/>
        <v/>
      </c>
      <c r="Y82" s="343"/>
      <c r="Z82" s="343"/>
      <c r="AA82" s="343"/>
      <c r="AB82" s="95" t="str">
        <f t="shared" si="17"/>
        <v/>
      </c>
      <c r="AC82" s="116" t="str">
        <f t="shared" si="18"/>
        <v/>
      </c>
      <c r="AD82" s="115" t="str">
        <f t="shared" si="50"/>
        <v/>
      </c>
      <c r="AE82" s="179" t="str">
        <f t="shared" si="48"/>
        <v/>
      </c>
      <c r="AF82" s="113" t="str">
        <f t="shared" si="19"/>
        <v/>
      </c>
      <c r="AG82" s="114" t="str">
        <f>IF(D82="","",VLOOKUP(F82,'9. All Habitats + Multipliers'!$C$4:$K$102,5,FALSE))</f>
        <v/>
      </c>
      <c r="AH82" s="115" t="str">
        <f>IF(AG82="","",VLOOKUP(AG82,'11. Lists'!$S$47:$U$50,2,FALSE))</f>
        <v/>
      </c>
      <c r="AI82" s="113" t="str">
        <f t="shared" si="20"/>
        <v/>
      </c>
      <c r="AJ82" s="93" t="str">
        <f>IF(AI82="","",VLOOKUP(AI82,'11. Lists'!$F$47:$G$51,2,FALSE))</f>
        <v/>
      </c>
      <c r="AK82" s="343"/>
      <c r="AL82" s="343"/>
      <c r="AM82" s="343"/>
      <c r="AN82" s="94" t="str">
        <f t="shared" si="21"/>
        <v/>
      </c>
      <c r="AO82" s="117" t="str">
        <f>IF(AN82="","",VLOOKUP(AN82,'11. Lists'!$F$36:$H$38,2,FALSE))</f>
        <v/>
      </c>
      <c r="AP82" s="115" t="str">
        <f>IF(AN82="","",VLOOKUP(AN82,'11. Lists'!$F$36:$H$38,3,FALSE))</f>
        <v/>
      </c>
      <c r="AQ82" s="114" t="str">
        <f>IF(D82="","",IF(AX82="Distinctiveness","N/A",VLOOKUP(F82,'10. Condition and Temporal'!$B$6:$L$103,11,FALSE)))</f>
        <v/>
      </c>
      <c r="AR82" s="118" t="str">
        <f>IF(AQ82="","",IF(AQ82="N/A","1",VLOOKUP(AQ82,'11. Lists'!$I$47:$K$80,3,FALSE)))</f>
        <v/>
      </c>
      <c r="AS82" s="134" t="str">
        <f>IF(D82="","",IF(AX82="Condition","N/A",VLOOKUP(F82,'10. Condition and Temporal'!$B$6:$M$106,12,FALSE)))</f>
        <v/>
      </c>
      <c r="AT82" s="118" t="str">
        <f>IF(AS82="","",IF(AS82="N/A","1",VLOOKUP(AS82,'11. Lists'!$I$47:$K$80,3,FALSE)))</f>
        <v/>
      </c>
      <c r="AU82" s="117" t="str">
        <f>IF(D82="","",VLOOKUP(F82,'9. All Habitats + Multipliers'!$C$4:$K$102,8,FALSE))</f>
        <v/>
      </c>
      <c r="AV82" s="115" t="str">
        <f>IF(AU82="","",VLOOKUP(AU82,'11. Lists'!$J$35:$K$38,2,FALSE))</f>
        <v/>
      </c>
      <c r="AW82" s="114" t="str">
        <f>IF(D82="","",VLOOKUP(D82,'10. Condition and Temporal'!$B$6:$M$103,4,FALSE))</f>
        <v/>
      </c>
      <c r="AX82" s="115" t="str">
        <f t="shared" si="22"/>
        <v/>
      </c>
      <c r="AZ82" s="206"/>
      <c r="BA82" s="93">
        <v>17</v>
      </c>
      <c r="BB82" s="95" t="str">
        <f t="shared" si="23"/>
        <v/>
      </c>
      <c r="BC82" s="95" t="str">
        <f t="shared" si="24"/>
        <v/>
      </c>
      <c r="BD82" s="95" t="str">
        <f t="shared" si="25"/>
        <v/>
      </c>
      <c r="BE82" s="95" t="str">
        <f t="shared" si="26"/>
        <v/>
      </c>
      <c r="BF82" s="95" t="str">
        <f t="shared" si="27"/>
        <v/>
      </c>
      <c r="BG82" s="95" t="str">
        <f t="shared" si="28"/>
        <v/>
      </c>
      <c r="BH82" s="95" t="str">
        <f t="shared" si="29"/>
        <v/>
      </c>
      <c r="BI82" s="95" t="str">
        <f t="shared" si="30"/>
        <v/>
      </c>
      <c r="BJ82" s="95" t="str">
        <f t="shared" si="31"/>
        <v/>
      </c>
      <c r="BK82" s="95" t="str">
        <f t="shared" si="32"/>
        <v/>
      </c>
      <c r="BL82" s="95" t="str">
        <f t="shared" si="33"/>
        <v/>
      </c>
      <c r="BM82" s="95" t="str">
        <f t="shared" si="34"/>
        <v/>
      </c>
      <c r="BN82" s="95" t="str">
        <f t="shared" si="35"/>
        <v/>
      </c>
      <c r="BO82" s="95" t="str">
        <f t="shared" si="36"/>
        <v/>
      </c>
      <c r="BP82" s="95" t="str">
        <f t="shared" si="37"/>
        <v/>
      </c>
      <c r="BQ82" s="95" t="str">
        <f t="shared" si="38"/>
        <v/>
      </c>
      <c r="BR82" s="95" t="str">
        <f t="shared" si="39"/>
        <v/>
      </c>
      <c r="BS82" s="95" t="str">
        <f t="shared" si="40"/>
        <v/>
      </c>
      <c r="BT82" s="95" t="str">
        <f t="shared" si="41"/>
        <v/>
      </c>
      <c r="BU82" s="94" t="str">
        <f t="shared" si="42"/>
        <v/>
      </c>
      <c r="BV82" s="184" t="str">
        <f t="shared" si="49"/>
        <v/>
      </c>
      <c r="BW82" s="95" t="s">
        <v>170</v>
      </c>
      <c r="BX82" s="95">
        <f>BR64</f>
        <v>0</v>
      </c>
    </row>
    <row r="83" spans="1:76" s="25" customFormat="1" ht="15.6" x14ac:dyDescent="0.3">
      <c r="B83" s="264">
        <v>18</v>
      </c>
      <c r="C83" s="119" t="str">
        <f t="shared" si="12"/>
        <v/>
      </c>
      <c r="D83" s="208" t="str">
        <f t="shared" si="43"/>
        <v/>
      </c>
      <c r="E83" s="166" t="str">
        <f t="shared" si="13"/>
        <v/>
      </c>
      <c r="F83" s="826"/>
      <c r="G83" s="827"/>
      <c r="H83" s="163" t="str">
        <f t="shared" si="14"/>
        <v/>
      </c>
      <c r="I83" s="320" t="str">
        <f t="shared" si="44"/>
        <v/>
      </c>
      <c r="J83" s="873" t="str">
        <f>IFERROR(IF(F83="","",VLOOKUP(F83,'10. Condition and Temporal'!$B$6:$F$103,5,FALSE)), "Error ▲")</f>
        <v/>
      </c>
      <c r="K83" s="874"/>
      <c r="L83" s="283" t="str">
        <f t="shared" si="45"/>
        <v/>
      </c>
      <c r="M83" s="734" t="str">
        <f t="shared" si="46"/>
        <v/>
      </c>
      <c r="N83" s="875"/>
      <c r="O83" s="74"/>
      <c r="P83" s="12"/>
      <c r="R83" s="741"/>
      <c r="T83" s="177" t="str">
        <f t="shared" si="15"/>
        <v/>
      </c>
      <c r="U83" s="114" t="str">
        <f t="shared" si="47"/>
        <v/>
      </c>
      <c r="V83" s="115" t="str">
        <f t="shared" si="16"/>
        <v/>
      </c>
      <c r="W83" s="114" t="str">
        <f t="shared" si="16"/>
        <v/>
      </c>
      <c r="X83" s="95" t="str">
        <f t="shared" si="16"/>
        <v/>
      </c>
      <c r="Y83" s="343"/>
      <c r="Z83" s="343"/>
      <c r="AA83" s="343"/>
      <c r="AB83" s="95" t="str">
        <f t="shared" si="17"/>
        <v/>
      </c>
      <c r="AC83" s="116" t="str">
        <f t="shared" si="18"/>
        <v/>
      </c>
      <c r="AD83" s="115" t="str">
        <f t="shared" si="50"/>
        <v/>
      </c>
      <c r="AE83" s="179" t="str">
        <f t="shared" si="48"/>
        <v/>
      </c>
      <c r="AF83" s="113" t="str">
        <f t="shared" si="19"/>
        <v/>
      </c>
      <c r="AG83" s="114" t="str">
        <f>IF(D83="","",VLOOKUP(F83,'9. All Habitats + Multipliers'!$C$4:$K$102,5,FALSE))</f>
        <v/>
      </c>
      <c r="AH83" s="115" t="str">
        <f>IF(AG83="","",VLOOKUP(AG83,'11. Lists'!$S$47:$U$50,2,FALSE))</f>
        <v/>
      </c>
      <c r="AI83" s="113" t="str">
        <f t="shared" si="20"/>
        <v/>
      </c>
      <c r="AJ83" s="93" t="str">
        <f>IF(AI83="","",VLOOKUP(AI83,'11. Lists'!$F$47:$G$51,2,FALSE))</f>
        <v/>
      </c>
      <c r="AK83" s="343"/>
      <c r="AL83" s="343"/>
      <c r="AM83" s="343"/>
      <c r="AN83" s="94" t="str">
        <f t="shared" si="21"/>
        <v/>
      </c>
      <c r="AO83" s="117" t="str">
        <f>IF(AN83="","",VLOOKUP(AN83,'11. Lists'!$F$36:$H$38,2,FALSE))</f>
        <v/>
      </c>
      <c r="AP83" s="115" t="str">
        <f>IF(AN83="","",VLOOKUP(AN83,'11. Lists'!$F$36:$H$38,3,FALSE))</f>
        <v/>
      </c>
      <c r="AQ83" s="114" t="str">
        <f>IF(D83="","",IF(AX83="Distinctiveness","N/A",VLOOKUP(F83,'10. Condition and Temporal'!$B$6:$L$103,11,FALSE)))</f>
        <v/>
      </c>
      <c r="AR83" s="118" t="str">
        <f>IF(AQ83="","",IF(AQ83="N/A","1",VLOOKUP(AQ83,'11. Lists'!$I$47:$K$80,3,FALSE)))</f>
        <v/>
      </c>
      <c r="AS83" s="134" t="str">
        <f>IF(D83="","",IF(AX83="Condition","N/A",VLOOKUP(F83,'10. Condition and Temporal'!$B$6:$M$106,12,FALSE)))</f>
        <v/>
      </c>
      <c r="AT83" s="118" t="str">
        <f>IF(AS83="","",IF(AS83="N/A","1",VLOOKUP(AS83,'11. Lists'!$I$47:$K$80,3,FALSE)))</f>
        <v/>
      </c>
      <c r="AU83" s="117" t="str">
        <f>IF(D83="","",VLOOKUP(F83,'9. All Habitats + Multipliers'!$C$4:$K$102,8,FALSE))</f>
        <v/>
      </c>
      <c r="AV83" s="115" t="str">
        <f>IF(AU83="","",VLOOKUP(AU83,'11. Lists'!$J$35:$K$38,2,FALSE))</f>
        <v/>
      </c>
      <c r="AW83" s="114" t="str">
        <f>IF(D83="","",VLOOKUP(D83,'10. Condition and Temporal'!$B$6:$M$103,4,FALSE))</f>
        <v/>
      </c>
      <c r="AX83" s="115" t="str">
        <f t="shared" si="22"/>
        <v/>
      </c>
      <c r="AZ83" s="206"/>
      <c r="BA83" s="93">
        <v>18</v>
      </c>
      <c r="BB83" s="95" t="str">
        <f t="shared" si="23"/>
        <v/>
      </c>
      <c r="BC83" s="95" t="str">
        <f t="shared" si="24"/>
        <v/>
      </c>
      <c r="BD83" s="95" t="str">
        <f t="shared" si="25"/>
        <v/>
      </c>
      <c r="BE83" s="95" t="str">
        <f t="shared" si="26"/>
        <v/>
      </c>
      <c r="BF83" s="95" t="str">
        <f t="shared" si="27"/>
        <v/>
      </c>
      <c r="BG83" s="95" t="str">
        <f t="shared" si="28"/>
        <v/>
      </c>
      <c r="BH83" s="95" t="str">
        <f t="shared" si="29"/>
        <v/>
      </c>
      <c r="BI83" s="95" t="str">
        <f t="shared" si="30"/>
        <v/>
      </c>
      <c r="BJ83" s="95" t="str">
        <f t="shared" si="31"/>
        <v/>
      </c>
      <c r="BK83" s="95" t="str">
        <f t="shared" si="32"/>
        <v/>
      </c>
      <c r="BL83" s="95" t="str">
        <f t="shared" si="33"/>
        <v/>
      </c>
      <c r="BM83" s="95" t="str">
        <f t="shared" si="34"/>
        <v/>
      </c>
      <c r="BN83" s="95" t="str">
        <f t="shared" si="35"/>
        <v/>
      </c>
      <c r="BO83" s="95" t="str">
        <f t="shared" si="36"/>
        <v/>
      </c>
      <c r="BP83" s="95" t="str">
        <f t="shared" si="37"/>
        <v/>
      </c>
      <c r="BQ83" s="95" t="str">
        <f t="shared" si="38"/>
        <v/>
      </c>
      <c r="BR83" s="95" t="str">
        <f t="shared" si="39"/>
        <v/>
      </c>
      <c r="BS83" s="95" t="str">
        <f t="shared" si="40"/>
        <v/>
      </c>
      <c r="BT83" s="95" t="str">
        <f t="shared" si="41"/>
        <v/>
      </c>
      <c r="BU83" s="94" t="str">
        <f t="shared" si="42"/>
        <v/>
      </c>
      <c r="BV83" s="184" t="str">
        <f t="shared" si="49"/>
        <v/>
      </c>
      <c r="BW83" s="95" t="s">
        <v>171</v>
      </c>
      <c r="BX83" s="95">
        <f>BS64</f>
        <v>0</v>
      </c>
    </row>
    <row r="84" spans="1:76" s="25" customFormat="1" ht="15.6" x14ac:dyDescent="0.3">
      <c r="B84" s="264">
        <v>19</v>
      </c>
      <c r="C84" s="119" t="str">
        <f t="shared" si="12"/>
        <v/>
      </c>
      <c r="D84" s="208" t="str">
        <f t="shared" si="43"/>
        <v/>
      </c>
      <c r="E84" s="166" t="str">
        <f t="shared" si="13"/>
        <v/>
      </c>
      <c r="F84" s="826"/>
      <c r="G84" s="827"/>
      <c r="H84" s="163" t="str">
        <f t="shared" si="14"/>
        <v/>
      </c>
      <c r="I84" s="320" t="str">
        <f t="shared" si="44"/>
        <v/>
      </c>
      <c r="J84" s="873" t="str">
        <f>IFERROR(IF(F84="","",VLOOKUP(F84,'10. Condition and Temporal'!$B$6:$F$103,5,FALSE)), "Error ▲")</f>
        <v/>
      </c>
      <c r="K84" s="874"/>
      <c r="L84" s="283" t="str">
        <f t="shared" si="45"/>
        <v/>
      </c>
      <c r="M84" s="734" t="str">
        <f t="shared" si="46"/>
        <v/>
      </c>
      <c r="N84" s="875"/>
      <c r="O84" s="74"/>
      <c r="P84" s="12"/>
      <c r="R84" s="741"/>
      <c r="T84" s="177" t="str">
        <f t="shared" si="15"/>
        <v/>
      </c>
      <c r="U84" s="114" t="str">
        <f t="shared" si="47"/>
        <v/>
      </c>
      <c r="V84" s="115" t="str">
        <f t="shared" si="16"/>
        <v/>
      </c>
      <c r="W84" s="114" t="str">
        <f t="shared" si="16"/>
        <v/>
      </c>
      <c r="X84" s="95" t="str">
        <f t="shared" si="16"/>
        <v/>
      </c>
      <c r="Y84" s="343"/>
      <c r="Z84" s="343"/>
      <c r="AA84" s="343"/>
      <c r="AB84" s="95" t="str">
        <f t="shared" si="17"/>
        <v/>
      </c>
      <c r="AC84" s="116" t="str">
        <f t="shared" si="18"/>
        <v/>
      </c>
      <c r="AD84" s="115" t="str">
        <f t="shared" si="50"/>
        <v/>
      </c>
      <c r="AE84" s="179" t="str">
        <f t="shared" si="48"/>
        <v/>
      </c>
      <c r="AF84" s="113" t="str">
        <f t="shared" si="19"/>
        <v/>
      </c>
      <c r="AG84" s="114" t="str">
        <f>IF(D84="","",VLOOKUP(F84,'9. All Habitats + Multipliers'!$C$4:$K$102,5,FALSE))</f>
        <v/>
      </c>
      <c r="AH84" s="115" t="str">
        <f>IF(AG84="","",VLOOKUP(AG84,'11. Lists'!$S$47:$U$50,2,FALSE))</f>
        <v/>
      </c>
      <c r="AI84" s="113" t="str">
        <f t="shared" si="20"/>
        <v/>
      </c>
      <c r="AJ84" s="93" t="str">
        <f>IF(AI84="","",VLOOKUP(AI84,'11. Lists'!$F$47:$G$51,2,FALSE))</f>
        <v/>
      </c>
      <c r="AK84" s="343"/>
      <c r="AL84" s="343"/>
      <c r="AM84" s="343"/>
      <c r="AN84" s="94" t="str">
        <f t="shared" si="21"/>
        <v/>
      </c>
      <c r="AO84" s="117" t="str">
        <f>IF(AN84="","",VLOOKUP(AN84,'11. Lists'!$F$36:$H$38,2,FALSE))</f>
        <v/>
      </c>
      <c r="AP84" s="115" t="str">
        <f>IF(AN84="","",VLOOKUP(AN84,'11. Lists'!$F$36:$H$38,3,FALSE))</f>
        <v/>
      </c>
      <c r="AQ84" s="114" t="str">
        <f>IF(D84="","",IF(AX84="Distinctiveness","N/A",VLOOKUP(F84,'10. Condition and Temporal'!$B$6:$L$103,11,FALSE)))</f>
        <v/>
      </c>
      <c r="AR84" s="118" t="str">
        <f>IF(AQ84="","",IF(AQ84="N/A","1",VLOOKUP(AQ84,'11. Lists'!$I$47:$K$80,3,FALSE)))</f>
        <v/>
      </c>
      <c r="AS84" s="134" t="str">
        <f>IF(D84="","",IF(AX84="Condition","N/A",VLOOKUP(F84,'10. Condition and Temporal'!$B$6:$M$106,12,FALSE)))</f>
        <v/>
      </c>
      <c r="AT84" s="118" t="str">
        <f>IF(AS84="","",IF(AS84="N/A","1",VLOOKUP(AS84,'11. Lists'!$I$47:$K$80,3,FALSE)))</f>
        <v/>
      </c>
      <c r="AU84" s="117" t="str">
        <f>IF(D84="","",VLOOKUP(F84,'9. All Habitats + Multipliers'!$C$4:$K$102,8,FALSE))</f>
        <v/>
      </c>
      <c r="AV84" s="115" t="str">
        <f>IF(AU84="","",VLOOKUP(AU84,'11. Lists'!$J$35:$K$38,2,FALSE))</f>
        <v/>
      </c>
      <c r="AW84" s="114" t="str">
        <f>IF(D84="","",VLOOKUP(D84,'10. Condition and Temporal'!$B$6:$M$103,4,FALSE))</f>
        <v/>
      </c>
      <c r="AX84" s="115" t="str">
        <f t="shared" si="22"/>
        <v/>
      </c>
      <c r="AZ84" s="206"/>
      <c r="BA84" s="93">
        <v>19</v>
      </c>
      <c r="BB84" s="95" t="str">
        <f t="shared" si="23"/>
        <v/>
      </c>
      <c r="BC84" s="95" t="str">
        <f t="shared" si="24"/>
        <v/>
      </c>
      <c r="BD84" s="95" t="str">
        <f t="shared" si="25"/>
        <v/>
      </c>
      <c r="BE84" s="95" t="str">
        <f t="shared" si="26"/>
        <v/>
      </c>
      <c r="BF84" s="95" t="str">
        <f t="shared" si="27"/>
        <v/>
      </c>
      <c r="BG84" s="95" t="str">
        <f t="shared" si="28"/>
        <v/>
      </c>
      <c r="BH84" s="95" t="str">
        <f t="shared" si="29"/>
        <v/>
      </c>
      <c r="BI84" s="95" t="str">
        <f t="shared" si="30"/>
        <v/>
      </c>
      <c r="BJ84" s="95" t="str">
        <f t="shared" si="31"/>
        <v/>
      </c>
      <c r="BK84" s="95" t="str">
        <f t="shared" si="32"/>
        <v/>
      </c>
      <c r="BL84" s="95" t="str">
        <f t="shared" si="33"/>
        <v/>
      </c>
      <c r="BM84" s="95" t="str">
        <f t="shared" si="34"/>
        <v/>
      </c>
      <c r="BN84" s="95" t="str">
        <f t="shared" si="35"/>
        <v/>
      </c>
      <c r="BO84" s="95" t="str">
        <f t="shared" si="36"/>
        <v/>
      </c>
      <c r="BP84" s="95" t="str">
        <f t="shared" si="37"/>
        <v/>
      </c>
      <c r="BQ84" s="95" t="str">
        <f t="shared" si="38"/>
        <v/>
      </c>
      <c r="BR84" s="95" t="str">
        <f t="shared" si="39"/>
        <v/>
      </c>
      <c r="BS84" s="95" t="str">
        <f t="shared" si="40"/>
        <v/>
      </c>
      <c r="BT84" s="95" t="str">
        <f t="shared" si="41"/>
        <v/>
      </c>
      <c r="BU84" s="94" t="str">
        <f t="shared" si="42"/>
        <v/>
      </c>
      <c r="BV84" s="184" t="str">
        <f t="shared" si="49"/>
        <v/>
      </c>
      <c r="BW84" s="95" t="s">
        <v>172</v>
      </c>
      <c r="BX84" s="95">
        <f>BT64</f>
        <v>0</v>
      </c>
    </row>
    <row r="85" spans="1:76" s="25" customFormat="1" ht="16.2" thickBot="1" x14ac:dyDescent="0.35">
      <c r="B85" s="265">
        <v>20</v>
      </c>
      <c r="C85" s="138" t="str">
        <f t="shared" si="12"/>
        <v/>
      </c>
      <c r="D85" s="420" t="str">
        <f t="shared" si="43"/>
        <v/>
      </c>
      <c r="E85" s="167" t="str">
        <f t="shared" si="13"/>
        <v/>
      </c>
      <c r="F85" s="854"/>
      <c r="G85" s="855"/>
      <c r="H85" s="164" t="str">
        <f t="shared" si="14"/>
        <v/>
      </c>
      <c r="I85" s="421" t="str">
        <f t="shared" si="44"/>
        <v/>
      </c>
      <c r="J85" s="924" t="str">
        <f>IFERROR(IF(F85="","",VLOOKUP(F85,'10. Condition and Temporal'!$B$6:$F$103,5,FALSE)), "Error ▲")</f>
        <v/>
      </c>
      <c r="K85" s="925"/>
      <c r="L85" s="422" t="str">
        <f t="shared" si="45"/>
        <v/>
      </c>
      <c r="M85" s="915" t="str">
        <f t="shared" si="46"/>
        <v/>
      </c>
      <c r="N85" s="872"/>
      <c r="O85" s="75"/>
      <c r="P85" s="14"/>
      <c r="R85" s="741"/>
      <c r="T85" s="177" t="str">
        <f t="shared" si="15"/>
        <v/>
      </c>
      <c r="U85" s="114" t="str">
        <f t="shared" si="47"/>
        <v/>
      </c>
      <c r="V85" s="115" t="str">
        <f t="shared" si="16"/>
        <v/>
      </c>
      <c r="W85" s="114" t="str">
        <f t="shared" si="16"/>
        <v/>
      </c>
      <c r="X85" s="95" t="str">
        <f t="shared" si="16"/>
        <v/>
      </c>
      <c r="Y85" s="343"/>
      <c r="Z85" s="343"/>
      <c r="AA85" s="343"/>
      <c r="AB85" s="95" t="str">
        <f t="shared" si="17"/>
        <v/>
      </c>
      <c r="AC85" s="116" t="str">
        <f t="shared" si="18"/>
        <v/>
      </c>
      <c r="AD85" s="115" t="str">
        <f t="shared" si="50"/>
        <v/>
      </c>
      <c r="AE85" s="179" t="str">
        <f t="shared" si="48"/>
        <v/>
      </c>
      <c r="AF85" s="113" t="str">
        <f t="shared" si="19"/>
        <v/>
      </c>
      <c r="AG85" s="114" t="str">
        <f>IF(D85="","",VLOOKUP(F85,'9. All Habitats + Multipliers'!$C$4:$K$102,5,FALSE))</f>
        <v/>
      </c>
      <c r="AH85" s="115" t="str">
        <f>IF(AG85="","",VLOOKUP(AG85,'11. Lists'!$S$47:$U$50,2,FALSE))</f>
        <v/>
      </c>
      <c r="AI85" s="113" t="str">
        <f t="shared" si="20"/>
        <v/>
      </c>
      <c r="AJ85" s="98" t="str">
        <f>IF(AI85="","",VLOOKUP(AI85,'11. Lists'!$F$47:$G$51,2,FALSE))</f>
        <v/>
      </c>
      <c r="AK85" s="364"/>
      <c r="AL85" s="364"/>
      <c r="AM85" s="364"/>
      <c r="AN85" s="99" t="str">
        <f t="shared" si="21"/>
        <v/>
      </c>
      <c r="AO85" s="117" t="str">
        <f>IF(AN85="","",VLOOKUP(AN85,'11. Lists'!$F$36:$H$38,2,FALSE))</f>
        <v/>
      </c>
      <c r="AP85" s="115" t="str">
        <f>IF(AN85="","",VLOOKUP(AN85,'11. Lists'!$F$36:$H$38,3,FALSE))</f>
        <v/>
      </c>
      <c r="AQ85" s="114" t="str">
        <f>IF(D85="","",IF(AX85="Distinctiveness","N/A",VLOOKUP(F85,'10. Condition and Temporal'!$B$6:$L$103,11,FALSE)))</f>
        <v/>
      </c>
      <c r="AR85" s="118" t="str">
        <f>IF(AQ85="","",IF(AQ85="N/A","1",VLOOKUP(AQ85,'11. Lists'!$I$47:$K$80,3,FALSE)))</f>
        <v/>
      </c>
      <c r="AS85" s="134" t="str">
        <f>IF(D85="","",IF(AX85="Condition","N/A",VLOOKUP(F85,'10. Condition and Temporal'!$B$6:$M$106,12,FALSE)))</f>
        <v/>
      </c>
      <c r="AT85" s="118" t="str">
        <f>IF(AS85="","",IF(AS85="N/A","1",VLOOKUP(AS85,'11. Lists'!$I$47:$K$80,3,FALSE)))</f>
        <v/>
      </c>
      <c r="AU85" s="117" t="str">
        <f>IF(D85="","",VLOOKUP(F85,'9. All Habitats + Multipliers'!$C$4:$K$102,8,FALSE))</f>
        <v/>
      </c>
      <c r="AV85" s="115" t="str">
        <f>IF(AU85="","",VLOOKUP(AU85,'11. Lists'!$J$35:$K$38,2,FALSE))</f>
        <v/>
      </c>
      <c r="AW85" s="114" t="str">
        <f>IF(D85="","",VLOOKUP(D85,'10. Condition and Temporal'!$B$6:$M$103,4,FALSE))</f>
        <v/>
      </c>
      <c r="AX85" s="115" t="str">
        <f t="shared" si="22"/>
        <v/>
      </c>
      <c r="AZ85" s="206"/>
      <c r="BA85" s="98">
        <v>20</v>
      </c>
      <c r="BB85" s="95" t="str">
        <f t="shared" si="23"/>
        <v/>
      </c>
      <c r="BC85" s="95" t="str">
        <f t="shared" si="24"/>
        <v/>
      </c>
      <c r="BD85" s="95" t="str">
        <f t="shared" si="25"/>
        <v/>
      </c>
      <c r="BE85" s="95" t="str">
        <f t="shared" si="26"/>
        <v/>
      </c>
      <c r="BF85" s="95" t="str">
        <f t="shared" si="27"/>
        <v/>
      </c>
      <c r="BG85" s="95" t="str">
        <f t="shared" si="28"/>
        <v/>
      </c>
      <c r="BH85" s="95" t="str">
        <f t="shared" si="29"/>
        <v/>
      </c>
      <c r="BI85" s="95" t="str">
        <f t="shared" si="30"/>
        <v/>
      </c>
      <c r="BJ85" s="95" t="str">
        <f t="shared" si="31"/>
        <v/>
      </c>
      <c r="BK85" s="95" t="str">
        <f t="shared" si="32"/>
        <v/>
      </c>
      <c r="BL85" s="95" t="str">
        <f t="shared" si="33"/>
        <v/>
      </c>
      <c r="BM85" s="95" t="str">
        <f t="shared" si="34"/>
        <v/>
      </c>
      <c r="BN85" s="95" t="str">
        <f t="shared" si="35"/>
        <v/>
      </c>
      <c r="BO85" s="95" t="str">
        <f t="shared" si="36"/>
        <v/>
      </c>
      <c r="BP85" s="95" t="str">
        <f t="shared" si="37"/>
        <v/>
      </c>
      <c r="BQ85" s="95" t="str">
        <f t="shared" si="38"/>
        <v/>
      </c>
      <c r="BR85" s="95" t="str">
        <f t="shared" si="39"/>
        <v/>
      </c>
      <c r="BS85" s="95" t="str">
        <f t="shared" si="40"/>
        <v/>
      </c>
      <c r="BT85" s="95" t="str">
        <f t="shared" si="41"/>
        <v/>
      </c>
      <c r="BU85" s="94" t="str">
        <f t="shared" si="42"/>
        <v/>
      </c>
      <c r="BV85" s="184" t="str">
        <f t="shared" si="49"/>
        <v/>
      </c>
      <c r="BW85" s="95" t="s">
        <v>173</v>
      </c>
      <c r="BX85" s="95">
        <f>BU64</f>
        <v>0</v>
      </c>
    </row>
    <row r="86" spans="1:76" s="25" customFormat="1" ht="15" thickBot="1" x14ac:dyDescent="0.35">
      <c r="H86" s="268" t="s">
        <v>224</v>
      </c>
      <c r="I86" s="322">
        <f>SUM(I66:I85)</f>
        <v>0</v>
      </c>
      <c r="J86" s="414"/>
      <c r="L86" s="391">
        <f>SUM(L66:L85)</f>
        <v>0</v>
      </c>
      <c r="M86" s="870">
        <f>SUM(M66:N85)</f>
        <v>0</v>
      </c>
      <c r="N86" s="872"/>
      <c r="R86" s="741"/>
    </row>
    <row r="87" spans="1:76" s="25" customFormat="1" x14ac:dyDescent="0.3">
      <c r="C87" s="26"/>
      <c r="R87" s="741"/>
    </row>
    <row r="88" spans="1:76" s="25" customFormat="1" x14ac:dyDescent="0.3">
      <c r="R88" s="741"/>
    </row>
    <row r="89" spans="1:76" s="25" customFormat="1" ht="19.2" customHeight="1" x14ac:dyDescent="0.3">
      <c r="R89" s="741"/>
    </row>
    <row r="90" spans="1:76" s="25" customFormat="1" x14ac:dyDescent="0.3">
      <c r="R90" s="741"/>
    </row>
    <row r="91" spans="1:76" s="25" customFormat="1" x14ac:dyDescent="0.3">
      <c r="A91" s="807" t="s">
        <v>188</v>
      </c>
      <c r="B91" s="807"/>
      <c r="C91" s="807"/>
      <c r="D91" s="807"/>
      <c r="E91" s="807"/>
      <c r="F91" s="807"/>
      <c r="G91" s="807"/>
      <c r="H91" s="807"/>
      <c r="I91" s="807"/>
      <c r="J91" s="807"/>
      <c r="K91" s="807"/>
      <c r="L91" s="807"/>
      <c r="M91" s="807"/>
      <c r="N91" s="807"/>
      <c r="O91" s="807"/>
      <c r="P91" s="807"/>
      <c r="Q91" s="807"/>
      <c r="R91" s="741"/>
    </row>
    <row r="92" spans="1:76" s="25" customFormat="1" x14ac:dyDescent="0.3">
      <c r="A92" s="807"/>
      <c r="B92" s="807"/>
      <c r="C92" s="807"/>
      <c r="D92" s="807"/>
      <c r="E92" s="807"/>
      <c r="F92" s="807"/>
      <c r="G92" s="807"/>
      <c r="H92" s="807"/>
      <c r="I92" s="807"/>
      <c r="J92" s="807"/>
      <c r="K92" s="807"/>
      <c r="L92" s="807"/>
      <c r="M92" s="807"/>
      <c r="N92" s="807"/>
      <c r="O92" s="807"/>
      <c r="P92" s="807"/>
      <c r="Q92" s="807"/>
      <c r="R92" s="741"/>
    </row>
    <row r="93" spans="1:76" s="25" customFormat="1" x14ac:dyDescent="0.3">
      <c r="A93" s="807"/>
      <c r="B93" s="807"/>
      <c r="C93" s="807"/>
      <c r="D93" s="807"/>
      <c r="E93" s="807"/>
      <c r="F93" s="807"/>
      <c r="G93" s="807"/>
      <c r="H93" s="807"/>
      <c r="I93" s="807"/>
      <c r="J93" s="807"/>
      <c r="K93" s="807"/>
      <c r="L93" s="807"/>
      <c r="M93" s="807"/>
      <c r="N93" s="807"/>
      <c r="O93" s="807"/>
      <c r="P93" s="807"/>
      <c r="Q93" s="807"/>
      <c r="R93" s="741"/>
    </row>
    <row r="94" spans="1:76" s="25" customFormat="1" x14ac:dyDescent="0.3">
      <c r="R94" s="741"/>
    </row>
    <row r="95" spans="1:76" s="25" customFormat="1" ht="21" x14ac:dyDescent="0.4">
      <c r="B95" s="57" t="s">
        <v>189</v>
      </c>
      <c r="D95" s="26"/>
      <c r="E95" s="26"/>
      <c r="F95" s="26"/>
      <c r="G95" s="26"/>
      <c r="R95" s="741"/>
    </row>
    <row r="96" spans="1:76" s="25" customFormat="1" ht="15" thickBot="1" x14ac:dyDescent="0.35">
      <c r="R96" s="741"/>
    </row>
    <row r="97" spans="2:18" s="25" customFormat="1" ht="36.6" customHeight="1" thickBot="1" x14ac:dyDescent="0.35">
      <c r="B97" s="919" t="s">
        <v>229</v>
      </c>
      <c r="C97" s="920"/>
      <c r="D97" s="921"/>
      <c r="E97" s="922" t="str" cm="1">
        <f t="array" aca="1" ref="E97" ca="1">IF(OR(H103:H113="No ▲"),"Error - Trading Rules Not Satisfied ▲","Trading Rules Satisfied ✓")</f>
        <v>Trading Rules Satisfied ✓</v>
      </c>
      <c r="F97" s="922"/>
      <c r="G97" s="922"/>
      <c r="H97" s="922"/>
      <c r="I97" s="923"/>
      <c r="J97" s="157">
        <f ca="1">IFERROR(FIND("Error",E97),0)</f>
        <v>0</v>
      </c>
      <c r="R97" s="741"/>
    </row>
    <row r="98" spans="2:18" s="25" customFormat="1" x14ac:dyDescent="0.3">
      <c r="R98" s="741"/>
    </row>
    <row r="99" spans="2:18" s="25" customFormat="1" ht="21" x14ac:dyDescent="0.4">
      <c r="B99" s="57" t="s">
        <v>192</v>
      </c>
      <c r="R99" s="741"/>
    </row>
    <row r="100" spans="2:18" s="25" customFormat="1" x14ac:dyDescent="0.3">
      <c r="R100" s="741"/>
    </row>
    <row r="101" spans="2:18" s="25" customFormat="1" ht="15" thickBot="1" x14ac:dyDescent="0.35">
      <c r="R101" s="741"/>
    </row>
    <row r="102" spans="2:18" s="25" customFormat="1" ht="51" customHeight="1" thickBot="1" x14ac:dyDescent="0.35">
      <c r="B102" s="456" t="s">
        <v>130</v>
      </c>
      <c r="C102" s="451" t="s">
        <v>82</v>
      </c>
      <c r="D102" s="451" t="s">
        <v>47</v>
      </c>
      <c r="E102" s="451" t="s">
        <v>195</v>
      </c>
      <c r="F102" s="451" t="s">
        <v>196</v>
      </c>
      <c r="G102" s="451" t="s">
        <v>197</v>
      </c>
      <c r="H102" s="441" t="s">
        <v>198</v>
      </c>
      <c r="I102" s="430"/>
      <c r="R102" s="741"/>
    </row>
    <row r="103" spans="2:18" s="25" customFormat="1" ht="30.75" customHeight="1" x14ac:dyDescent="0.3">
      <c r="B103" s="859" t="s">
        <v>223</v>
      </c>
      <c r="C103" s="862" t="s">
        <v>202</v>
      </c>
      <c r="D103" s="452" t="s">
        <v>230</v>
      </c>
      <c r="E103" s="453">
        <f ca="1">SUMIF($D$11:$E$30,D103,$L$11:$L$30)</f>
        <v>0</v>
      </c>
      <c r="F103" s="453">
        <f ca="1">IF($I$31+$I$59+$I$86=0,0,SUMIF($D$39:$D$58,D103,$L$39:$N$58)+SUMIF($F$66:$G$85,D103,$L$66:$L$85)+SUMIF($D$11:$E$30,D103,$AE$11:$AE$30))</f>
        <v>0</v>
      </c>
      <c r="G103" s="453">
        <f ca="1">$F$103-$E$103</f>
        <v>0</v>
      </c>
      <c r="H103" s="926" t="str">
        <f ca="1">IF(G108&gt;=0, "Yes ✓", "No ▲")</f>
        <v>Yes ✓</v>
      </c>
      <c r="I103" s="430"/>
      <c r="R103" s="741"/>
    </row>
    <row r="104" spans="2:18" s="25" customFormat="1" ht="30.75" customHeight="1" x14ac:dyDescent="0.3">
      <c r="B104" s="860"/>
      <c r="C104" s="863"/>
      <c r="D104" s="432" t="s">
        <v>231</v>
      </c>
      <c r="E104" s="433">
        <f t="shared" ref="E104:E113" ca="1" si="51">SUMIF($D$11:$E$30,D104,$L$11:$L$30)</f>
        <v>0</v>
      </c>
      <c r="F104" s="433">
        <f t="shared" ref="F104:F113" ca="1" si="52">IF($I$31+$I$59+$I$86=0,0,SUMIF($D$39:$D$58,D104,$L$39:$N$58)+SUMIF($F$66:$G$85,D104,$L$66:$L$85)+SUMIF($D$11:$E$30,D104,$AE$11:$AE$30))</f>
        <v>0</v>
      </c>
      <c r="G104" s="433">
        <f ca="1">$F$104-$E$104</f>
        <v>0</v>
      </c>
      <c r="H104" s="927"/>
      <c r="I104" s="430"/>
      <c r="R104" s="741"/>
    </row>
    <row r="105" spans="2:18" s="25" customFormat="1" ht="30.75" customHeight="1" x14ac:dyDescent="0.3">
      <c r="B105" s="860"/>
      <c r="C105" s="863"/>
      <c r="D105" s="432" t="s">
        <v>232</v>
      </c>
      <c r="E105" s="433">
        <f t="shared" ca="1" si="51"/>
        <v>0</v>
      </c>
      <c r="F105" s="433">
        <f t="shared" ca="1" si="52"/>
        <v>0</v>
      </c>
      <c r="G105" s="433">
        <f ca="1">$F$105-$E$105</f>
        <v>0</v>
      </c>
      <c r="H105" s="927"/>
      <c r="I105" s="430"/>
      <c r="R105" s="741"/>
    </row>
    <row r="106" spans="2:18" s="25" customFormat="1" ht="30.75" customHeight="1" x14ac:dyDescent="0.3">
      <c r="B106" s="860"/>
      <c r="C106" s="863"/>
      <c r="D106" s="432" t="s">
        <v>233</v>
      </c>
      <c r="E106" s="433">
        <f t="shared" ca="1" si="51"/>
        <v>0</v>
      </c>
      <c r="F106" s="433">
        <f t="shared" ca="1" si="52"/>
        <v>0</v>
      </c>
      <c r="G106" s="433">
        <f ca="1">$F$106-$E$106</f>
        <v>0</v>
      </c>
      <c r="H106" s="927"/>
      <c r="I106" s="430"/>
      <c r="R106" s="741"/>
    </row>
    <row r="107" spans="2:18" s="25" customFormat="1" ht="30.75" customHeight="1" x14ac:dyDescent="0.3">
      <c r="B107" s="860"/>
      <c r="C107" s="863"/>
      <c r="D107" s="432" t="s">
        <v>234</v>
      </c>
      <c r="E107" s="433">
        <f t="shared" ca="1" si="51"/>
        <v>0</v>
      </c>
      <c r="F107" s="433">
        <f t="shared" ca="1" si="52"/>
        <v>0</v>
      </c>
      <c r="G107" s="433">
        <f ca="1">$F$107-$E$107</f>
        <v>0</v>
      </c>
      <c r="H107" s="927"/>
      <c r="I107" s="157"/>
      <c r="R107" s="741"/>
    </row>
    <row r="108" spans="2:18" s="25" customFormat="1" ht="30.75" customHeight="1" thickBot="1" x14ac:dyDescent="0.35">
      <c r="B108" s="860"/>
      <c r="C108" s="864"/>
      <c r="D108" s="444" t="s">
        <v>235</v>
      </c>
      <c r="E108" s="445">
        <f ca="1">SUM($E$103:$E$107)</f>
        <v>0</v>
      </c>
      <c r="F108" s="445">
        <f ca="1">SUM($F$103:$F$107)</f>
        <v>0</v>
      </c>
      <c r="G108" s="445">
        <f ca="1">SUM($G$103:$G$107)</f>
        <v>0</v>
      </c>
      <c r="H108" s="928"/>
      <c r="I108" s="157">
        <f ca="1">IF($H$103="No ▲",1,0)</f>
        <v>0</v>
      </c>
      <c r="R108" s="741"/>
    </row>
    <row r="109" spans="2:18" s="25" customFormat="1" ht="30.75" customHeight="1" x14ac:dyDescent="0.3">
      <c r="B109" s="860"/>
      <c r="C109" s="862" t="s">
        <v>200</v>
      </c>
      <c r="D109" s="452" t="s">
        <v>236</v>
      </c>
      <c r="E109" s="453">
        <f t="shared" ca="1" si="51"/>
        <v>0.26</v>
      </c>
      <c r="F109" s="453">
        <f t="shared" ca="1" si="52"/>
        <v>0.29912722164200001</v>
      </c>
      <c r="G109" s="453">
        <f ca="1">$F$109-$E$109</f>
        <v>3.9127221641999999E-2</v>
      </c>
      <c r="H109" s="926" t="str">
        <f ca="1">IF(G112&gt;=0,"Yes ✓",IF(E114&gt;=0,"Yes ✓","No ▲"))</f>
        <v>Yes ✓</v>
      </c>
      <c r="I109" s="157"/>
      <c r="R109" s="741"/>
    </row>
    <row r="110" spans="2:18" s="25" customFormat="1" ht="30.75" customHeight="1" x14ac:dyDescent="0.3">
      <c r="B110" s="860"/>
      <c r="C110" s="863"/>
      <c r="D110" s="432" t="s">
        <v>237</v>
      </c>
      <c r="E110" s="433">
        <f t="shared" ca="1" si="51"/>
        <v>0</v>
      </c>
      <c r="F110" s="433">
        <f t="shared" ca="1" si="52"/>
        <v>0</v>
      </c>
      <c r="G110" s="433">
        <f ca="1">$F$110-$E$110</f>
        <v>0</v>
      </c>
      <c r="H110" s="927"/>
      <c r="I110" s="157"/>
      <c r="R110" s="741"/>
    </row>
    <row r="111" spans="2:18" s="25" customFormat="1" ht="30.75" customHeight="1" x14ac:dyDescent="0.3">
      <c r="B111" s="860"/>
      <c r="C111" s="863"/>
      <c r="D111" s="432" t="s">
        <v>238</v>
      </c>
      <c r="E111" s="433">
        <f t="shared" ca="1" si="51"/>
        <v>0</v>
      </c>
      <c r="F111" s="433">
        <f t="shared" ca="1" si="52"/>
        <v>0</v>
      </c>
      <c r="G111" s="433">
        <f ca="1">$F$111-$E$111</f>
        <v>0</v>
      </c>
      <c r="H111" s="927"/>
      <c r="I111" s="157"/>
      <c r="R111" s="741"/>
    </row>
    <row r="112" spans="2:18" s="25" customFormat="1" ht="30.75" customHeight="1" thickBot="1" x14ac:dyDescent="0.35">
      <c r="B112" s="860"/>
      <c r="C112" s="864"/>
      <c r="D112" s="444" t="s">
        <v>235</v>
      </c>
      <c r="E112" s="445">
        <f ca="1">SUM($E$109:$E$111)</f>
        <v>0.26</v>
      </c>
      <c r="F112" s="445">
        <f ca="1">SUM($F$109:$F$111)</f>
        <v>0.29912722164200001</v>
      </c>
      <c r="G112" s="445">
        <f ca="1">SUM($G$109:$G$111)</f>
        <v>3.9127221641999999E-2</v>
      </c>
      <c r="H112" s="928"/>
      <c r="I112" s="157">
        <f ca="1">IF($H$109="No ▲",1,0)</f>
        <v>0</v>
      </c>
      <c r="R112" s="741"/>
    </row>
    <row r="113" spans="2:18" s="25" customFormat="1" ht="30.75" customHeight="1" thickBot="1" x14ac:dyDescent="0.35">
      <c r="B113" s="861"/>
      <c r="C113" s="446" t="s">
        <v>239</v>
      </c>
      <c r="D113" s="454" t="s">
        <v>240</v>
      </c>
      <c r="E113" s="455">
        <f t="shared" ca="1" si="51"/>
        <v>0</v>
      </c>
      <c r="F113" s="455">
        <f t="shared" ca="1" si="52"/>
        <v>0</v>
      </c>
      <c r="G113" s="455">
        <f ca="1">$F$113-$E$113</f>
        <v>0</v>
      </c>
      <c r="H113" s="449" t="str">
        <f ca="1">IF(G113&gt;=0,"Yes✓",IF(F114&gt;=0,"Yes ✓","No ▲"))</f>
        <v>Yes✓</v>
      </c>
      <c r="I113" s="157">
        <f ca="1">IF($H$113="No ▲",1,0)</f>
        <v>0</v>
      </c>
      <c r="R113" s="741"/>
    </row>
    <row r="114" spans="2:18" s="25" customFormat="1" ht="15" thickBot="1" x14ac:dyDescent="0.35">
      <c r="E114" s="457">
        <f ca="1">G108+G112</f>
        <v>3.9127221641999999E-2</v>
      </c>
      <c r="F114" s="434">
        <f ca="1">IF(G108&lt;0,0,($G$108+$G$112+$G$113))</f>
        <v>3.9127221641999999E-2</v>
      </c>
      <c r="I114" s="430"/>
      <c r="R114" s="741"/>
    </row>
    <row r="115" spans="2:18" s="25" customFormat="1" ht="24.75" customHeight="1" x14ac:dyDescent="0.3">
      <c r="B115" s="865" t="s">
        <v>241</v>
      </c>
      <c r="C115" s="638"/>
      <c r="D115" s="638"/>
      <c r="E115" s="638"/>
      <c r="F115" s="437">
        <f ca="1">$G$108</f>
        <v>0</v>
      </c>
      <c r="G115" s="434">
        <f ca="1">IF($G$108&lt;=0,0,($G$108+$G$112))</f>
        <v>0</v>
      </c>
      <c r="I115" s="430"/>
      <c r="R115" s="741"/>
    </row>
    <row r="116" spans="2:18" s="25" customFormat="1" ht="21.75" customHeight="1" x14ac:dyDescent="0.3">
      <c r="B116" s="856" t="s">
        <v>242</v>
      </c>
      <c r="C116" s="857"/>
      <c r="D116" s="857"/>
      <c r="E116" s="857"/>
      <c r="F116" s="439">
        <f ca="1">IF($G$108&gt;0,($G$112+$G$108),$G$112)</f>
        <v>3.9127221641999999E-2</v>
      </c>
      <c r="G116" s="434">
        <f ca="1">IF($G$108&lt;=0,0,($G$108+$G$112+$G$113))</f>
        <v>0</v>
      </c>
      <c r="R116" s="741"/>
    </row>
    <row r="117" spans="2:18" s="25" customFormat="1" ht="24" customHeight="1" thickBot="1" x14ac:dyDescent="0.35">
      <c r="B117" s="858" t="s">
        <v>243</v>
      </c>
      <c r="C117" s="636"/>
      <c r="D117" s="636"/>
      <c r="E117" s="636"/>
      <c r="F117" s="438">
        <f ca="1">IF($F$116&gt;0,($F$116+$G$113),$G$113)</f>
        <v>3.9127221641999999E-2</v>
      </c>
      <c r="G117" s="434"/>
      <c r="R117" s="741"/>
    </row>
    <row r="118" spans="2:18" s="25" customFormat="1" x14ac:dyDescent="0.3">
      <c r="G118" s="434"/>
      <c r="R118" s="741"/>
    </row>
    <row r="119" spans="2:18" s="25" customFormat="1" x14ac:dyDescent="0.3">
      <c r="R119" s="741"/>
    </row>
    <row r="120" spans="2:18" s="25" customFormat="1" x14ac:dyDescent="0.3">
      <c r="R120" s="741"/>
    </row>
    <row r="121" spans="2:18" s="25" customFormat="1" x14ac:dyDescent="0.3">
      <c r="R121" s="741"/>
    </row>
    <row r="122" spans="2:18" s="25" customFormat="1" x14ac:dyDescent="0.3">
      <c r="R122" s="741"/>
    </row>
    <row r="123" spans="2:18" s="25" customFormat="1" x14ac:dyDescent="0.3">
      <c r="R123" s="741"/>
    </row>
    <row r="124" spans="2:18" s="25" customFormat="1" x14ac:dyDescent="0.3">
      <c r="R124" s="741"/>
    </row>
    <row r="125" spans="2:18" s="25" customFormat="1" x14ac:dyDescent="0.3">
      <c r="R125" s="741"/>
    </row>
    <row r="126" spans="2:18" s="25" customFormat="1" x14ac:dyDescent="0.3">
      <c r="R126" s="741"/>
    </row>
    <row r="127" spans="2:18" s="25" customFormat="1" x14ac:dyDescent="0.3">
      <c r="R127" s="741"/>
    </row>
  </sheetData>
  <sheetProtection algorithmName="SHA-512" hashValue="xz9MHnyjpwIV3DmTeuqW1769/10tWXgXrX1g95VUBMVbZ8cZArnxPf14ZyiomAxMsc+C0rMCUL0BPpM8VI6wjg==" saltValue="bqt7brlrxiDeAEFPhxVvKw==" spinCount="100000" sheet="1" formatRows="0"/>
  <mergeCells count="273">
    <mergeCell ref="H103:H108"/>
    <mergeCell ref="H109:H112"/>
    <mergeCell ref="F54:G54"/>
    <mergeCell ref="I54:K54"/>
    <mergeCell ref="L54:N54"/>
    <mergeCell ref="F55:G55"/>
    <mergeCell ref="I55:K55"/>
    <mergeCell ref="L55:N55"/>
    <mergeCell ref="M86:N86"/>
    <mergeCell ref="M82:N82"/>
    <mergeCell ref="M83:N83"/>
    <mergeCell ref="M78:N78"/>
    <mergeCell ref="M79:N79"/>
    <mergeCell ref="J80:K80"/>
    <mergeCell ref="J81:K81"/>
    <mergeCell ref="F72:G72"/>
    <mergeCell ref="F73:G73"/>
    <mergeCell ref="F81:G81"/>
    <mergeCell ref="F82:G82"/>
    <mergeCell ref="M71:N71"/>
    <mergeCell ref="J76:K76"/>
    <mergeCell ref="J77:K77"/>
    <mergeCell ref="M76:N76"/>
    <mergeCell ref="M77:N77"/>
    <mergeCell ref="R101:R127"/>
    <mergeCell ref="L64:L65"/>
    <mergeCell ref="M64:N65"/>
    <mergeCell ref="M66:N66"/>
    <mergeCell ref="M67:N67"/>
    <mergeCell ref="M68:N68"/>
    <mergeCell ref="M69:N69"/>
    <mergeCell ref="R98:R100"/>
    <mergeCell ref="A91:Q93"/>
    <mergeCell ref="B97:D97"/>
    <mergeCell ref="E97:I97"/>
    <mergeCell ref="F83:G83"/>
    <mergeCell ref="F84:G84"/>
    <mergeCell ref="F85:G85"/>
    <mergeCell ref="F74:G74"/>
    <mergeCell ref="F75:G75"/>
    <mergeCell ref="F76:G76"/>
    <mergeCell ref="F77:G77"/>
    <mergeCell ref="R89:R97"/>
    <mergeCell ref="J84:K84"/>
    <mergeCell ref="J85:K85"/>
    <mergeCell ref="B64:B65"/>
    <mergeCell ref="F65:G65"/>
    <mergeCell ref="J83:K83"/>
    <mergeCell ref="A63:A65"/>
    <mergeCell ref="R63:R88"/>
    <mergeCell ref="C64:D64"/>
    <mergeCell ref="E64:G64"/>
    <mergeCell ref="H64:H65"/>
    <mergeCell ref="I64:I65"/>
    <mergeCell ref="J64:K65"/>
    <mergeCell ref="J68:K68"/>
    <mergeCell ref="J69:K69"/>
    <mergeCell ref="J66:K66"/>
    <mergeCell ref="J67:K67"/>
    <mergeCell ref="O64:P64"/>
    <mergeCell ref="J72:K72"/>
    <mergeCell ref="J73:K73"/>
    <mergeCell ref="M72:N72"/>
    <mergeCell ref="M73:N73"/>
    <mergeCell ref="J70:K70"/>
    <mergeCell ref="J71:K71"/>
    <mergeCell ref="M70:N70"/>
    <mergeCell ref="M84:N84"/>
    <mergeCell ref="M85:N85"/>
    <mergeCell ref="J82:K82"/>
    <mergeCell ref="J78:K78"/>
    <mergeCell ref="J79:K79"/>
    <mergeCell ref="F52:G52"/>
    <mergeCell ref="I52:K52"/>
    <mergeCell ref="L52:N52"/>
    <mergeCell ref="F53:G53"/>
    <mergeCell ref="I53:K53"/>
    <mergeCell ref="L53:N53"/>
    <mergeCell ref="F78:G78"/>
    <mergeCell ref="F79:G79"/>
    <mergeCell ref="F80:G80"/>
    <mergeCell ref="F66:G66"/>
    <mergeCell ref="F67:G67"/>
    <mergeCell ref="F68:G68"/>
    <mergeCell ref="F69:G69"/>
    <mergeCell ref="F70:G70"/>
    <mergeCell ref="F71:G71"/>
    <mergeCell ref="F58:G58"/>
    <mergeCell ref="I58:K58"/>
    <mergeCell ref="L58:N58"/>
    <mergeCell ref="F56:G56"/>
    <mergeCell ref="I56:K56"/>
    <mergeCell ref="L56:N56"/>
    <mergeCell ref="F57:G57"/>
    <mergeCell ref="I57:K57"/>
    <mergeCell ref="L57:N57"/>
    <mergeCell ref="L44:N44"/>
    <mergeCell ref="F45:G45"/>
    <mergeCell ref="I45:K45"/>
    <mergeCell ref="L45:N45"/>
    <mergeCell ref="F50:G50"/>
    <mergeCell ref="I50:K50"/>
    <mergeCell ref="L50:N50"/>
    <mergeCell ref="F51:G51"/>
    <mergeCell ref="I51:K51"/>
    <mergeCell ref="L51:N51"/>
    <mergeCell ref="F48:G48"/>
    <mergeCell ref="I48:K48"/>
    <mergeCell ref="L48:N48"/>
    <mergeCell ref="F49:G49"/>
    <mergeCell ref="I49:K49"/>
    <mergeCell ref="L49:N49"/>
    <mergeCell ref="W37:X37"/>
    <mergeCell ref="Y37:AA37"/>
    <mergeCell ref="T42:U42"/>
    <mergeCell ref="T43:U43"/>
    <mergeCell ref="T44:U44"/>
    <mergeCell ref="T45:U45"/>
    <mergeCell ref="AB37:AD37"/>
    <mergeCell ref="AE37:AF37"/>
    <mergeCell ref="AG37:AH37"/>
    <mergeCell ref="B37:B38"/>
    <mergeCell ref="C37:D37"/>
    <mergeCell ref="E37:G37"/>
    <mergeCell ref="H37:H38"/>
    <mergeCell ref="I37:K38"/>
    <mergeCell ref="L37:N38"/>
    <mergeCell ref="F38:G38"/>
    <mergeCell ref="I32:N32"/>
    <mergeCell ref="R34:R62"/>
    <mergeCell ref="O37:P37"/>
    <mergeCell ref="F39:G39"/>
    <mergeCell ref="I39:K39"/>
    <mergeCell ref="L39:N39"/>
    <mergeCell ref="F43:G43"/>
    <mergeCell ref="I43:K43"/>
    <mergeCell ref="L43:N43"/>
    <mergeCell ref="F46:G46"/>
    <mergeCell ref="I46:K46"/>
    <mergeCell ref="L46:N46"/>
    <mergeCell ref="F47:G47"/>
    <mergeCell ref="I47:K47"/>
    <mergeCell ref="L47:N47"/>
    <mergeCell ref="F44:G44"/>
    <mergeCell ref="I44:K44"/>
    <mergeCell ref="D28:E28"/>
    <mergeCell ref="F28:H28"/>
    <mergeCell ref="D29:E29"/>
    <mergeCell ref="F29:H29"/>
    <mergeCell ref="D30:E30"/>
    <mergeCell ref="F30:H30"/>
    <mergeCell ref="F42:G42"/>
    <mergeCell ref="I42:K42"/>
    <mergeCell ref="L42:N42"/>
    <mergeCell ref="F40:G40"/>
    <mergeCell ref="I40:K40"/>
    <mergeCell ref="L40:N40"/>
    <mergeCell ref="F41:G41"/>
    <mergeCell ref="I41:K41"/>
    <mergeCell ref="L41:N41"/>
    <mergeCell ref="I33:N33"/>
    <mergeCell ref="D26:E26"/>
    <mergeCell ref="F26:H26"/>
    <mergeCell ref="D27:E27"/>
    <mergeCell ref="F27:H27"/>
    <mergeCell ref="D22:E22"/>
    <mergeCell ref="F22:H22"/>
    <mergeCell ref="D23:E23"/>
    <mergeCell ref="F23:H23"/>
    <mergeCell ref="D24:E24"/>
    <mergeCell ref="F24:H24"/>
    <mergeCell ref="F21:H21"/>
    <mergeCell ref="D16:E16"/>
    <mergeCell ref="F16:H16"/>
    <mergeCell ref="D17:E17"/>
    <mergeCell ref="F17:H17"/>
    <mergeCell ref="D18:E18"/>
    <mergeCell ref="F18:H18"/>
    <mergeCell ref="D25:E25"/>
    <mergeCell ref="F25:H25"/>
    <mergeCell ref="D15:E15"/>
    <mergeCell ref="F15:H15"/>
    <mergeCell ref="AH9:AH10"/>
    <mergeCell ref="AI9:AI10"/>
    <mergeCell ref="D10:E10"/>
    <mergeCell ref="D11:E11"/>
    <mergeCell ref="F11:H11"/>
    <mergeCell ref="D12:E12"/>
    <mergeCell ref="F12:H12"/>
    <mergeCell ref="O9:P9"/>
    <mergeCell ref="W9:X9"/>
    <mergeCell ref="Y9:AA9"/>
    <mergeCell ref="AB9:AD9"/>
    <mergeCell ref="AE9:AG9"/>
    <mergeCell ref="R1:R31"/>
    <mergeCell ref="C2:D2"/>
    <mergeCell ref="F2:H6"/>
    <mergeCell ref="J2:M5"/>
    <mergeCell ref="C3:D3"/>
    <mergeCell ref="D19:E19"/>
    <mergeCell ref="F19:H19"/>
    <mergeCell ref="D20:E20"/>
    <mergeCell ref="F20:H20"/>
    <mergeCell ref="D21:E21"/>
    <mergeCell ref="B9:B10"/>
    <mergeCell ref="C9:E9"/>
    <mergeCell ref="F9:H10"/>
    <mergeCell ref="I9:K9"/>
    <mergeCell ref="L9:N9"/>
    <mergeCell ref="D13:E13"/>
    <mergeCell ref="F13:H13"/>
    <mergeCell ref="D14:E14"/>
    <mergeCell ref="F14:H14"/>
    <mergeCell ref="T9:V9"/>
    <mergeCell ref="T10:U10"/>
    <mergeCell ref="T11:U11"/>
    <mergeCell ref="T12:U12"/>
    <mergeCell ref="T13:U13"/>
    <mergeCell ref="T14:U14"/>
    <mergeCell ref="T15:U15"/>
    <mergeCell ref="T16:U16"/>
    <mergeCell ref="T17:U17"/>
    <mergeCell ref="T18:U18"/>
    <mergeCell ref="T19:U19"/>
    <mergeCell ref="T20:U20"/>
    <mergeCell ref="T21:U21"/>
    <mergeCell ref="T22:U22"/>
    <mergeCell ref="T23:U23"/>
    <mergeCell ref="T24:U24"/>
    <mergeCell ref="T25:U25"/>
    <mergeCell ref="T26:U26"/>
    <mergeCell ref="T27:U27"/>
    <mergeCell ref="T28:U28"/>
    <mergeCell ref="T29:U29"/>
    <mergeCell ref="T30:U30"/>
    <mergeCell ref="T37:V37"/>
    <mergeCell ref="T38:U38"/>
    <mergeCell ref="T39:U39"/>
    <mergeCell ref="T40:U40"/>
    <mergeCell ref="T41:U41"/>
    <mergeCell ref="T46:U46"/>
    <mergeCell ref="T47:U47"/>
    <mergeCell ref="T48:U48"/>
    <mergeCell ref="T49:U49"/>
    <mergeCell ref="T50:U50"/>
    <mergeCell ref="T51:U51"/>
    <mergeCell ref="T52:U52"/>
    <mergeCell ref="T53:U53"/>
    <mergeCell ref="T54:U54"/>
    <mergeCell ref="B116:E116"/>
    <mergeCell ref="B117:E117"/>
    <mergeCell ref="B103:B113"/>
    <mergeCell ref="C103:C108"/>
    <mergeCell ref="C109:C112"/>
    <mergeCell ref="B115:E115"/>
    <mergeCell ref="I60:N60"/>
    <mergeCell ref="AR64:AX64"/>
    <mergeCell ref="T55:U55"/>
    <mergeCell ref="T56:U56"/>
    <mergeCell ref="T57:U57"/>
    <mergeCell ref="T58:U58"/>
    <mergeCell ref="T64:AD64"/>
    <mergeCell ref="AE64:AE65"/>
    <mergeCell ref="AQ64:AQ65"/>
    <mergeCell ref="AF64:AP64"/>
    <mergeCell ref="I59:K59"/>
    <mergeCell ref="L59:N59"/>
    <mergeCell ref="J74:K74"/>
    <mergeCell ref="J75:K75"/>
    <mergeCell ref="M74:N74"/>
    <mergeCell ref="M75:N75"/>
    <mergeCell ref="M80:N80"/>
    <mergeCell ref="M81:N81"/>
  </mergeCells>
  <conditionalFormatting sqref="AG11:AG30">
    <cfRule type="cellIs" dxfId="274" priority="167" operator="equal">
      <formula>"Unacceptable Loss"</formula>
    </cfRule>
  </conditionalFormatting>
  <conditionalFormatting sqref="X11:X30">
    <cfRule type="cellIs" dxfId="273" priority="168" operator="equal">
      <formula>"Not Possible"</formula>
    </cfRule>
  </conditionalFormatting>
  <conditionalFormatting sqref="AG11:AG30">
    <cfRule type="cellIs" dxfId="272" priority="166" operator="equal">
      <formula>"Unacceptable Loss"</formula>
    </cfRule>
  </conditionalFormatting>
  <conditionalFormatting sqref="AG11:AG30">
    <cfRule type="cellIs" dxfId="271" priority="165" operator="equal">
      <formula>"Unacceptable Loss"</formula>
    </cfRule>
  </conditionalFormatting>
  <conditionalFormatting sqref="I31">
    <cfRule type="cellIs" dxfId="270" priority="143" operator="greaterThan">
      <formula>5000</formula>
    </cfRule>
  </conditionalFormatting>
  <conditionalFormatting sqref="E97">
    <cfRule type="containsText" dxfId="269" priority="137" operator="containsText" text="Trading Rules Satisfied">
      <formula>NOT(ISERROR(SEARCH("Trading Rules Satisfied",E97)))</formula>
    </cfRule>
    <cfRule type="containsText" dxfId="268" priority="138" operator="containsText" text="Error - Trading Rules Not Satisfied">
      <formula>NOT(ISERROR(SEARCH("Error - Trading Rules Not Satisfied",E97)))</formula>
    </cfRule>
  </conditionalFormatting>
  <conditionalFormatting sqref="O6:P6 J2">
    <cfRule type="containsText" dxfId="267" priority="116" operator="containsText" text="Errors Present On Sheet">
      <formula>NOT(ISERROR(SEARCH("Errors Present On Sheet",J2)))</formula>
    </cfRule>
  </conditionalFormatting>
  <conditionalFormatting sqref="X39:X58">
    <cfRule type="cellIs" dxfId="266" priority="115" operator="equal">
      <formula>"Not Possible"</formula>
    </cfRule>
  </conditionalFormatting>
  <conditionalFormatting sqref="I86">
    <cfRule type="expression" dxfId="265" priority="114">
      <formula>"p18=""Avoid"""</formula>
    </cfRule>
  </conditionalFormatting>
  <conditionalFormatting sqref="I86">
    <cfRule type="cellIs" dxfId="264" priority="113" operator="equal">
      <formula>"Any loss Unacceptable"</formula>
    </cfRule>
  </conditionalFormatting>
  <conditionalFormatting sqref="I86">
    <cfRule type="cellIs" dxfId="263" priority="112" operator="equal">
      <formula>"Any loss Unacceptable"</formula>
    </cfRule>
  </conditionalFormatting>
  <conditionalFormatting sqref="L86:M86">
    <cfRule type="expression" dxfId="262" priority="111">
      <formula>"p18=""Avoid"""</formula>
    </cfRule>
  </conditionalFormatting>
  <conditionalFormatting sqref="L86:M86">
    <cfRule type="cellIs" dxfId="261" priority="110" operator="equal">
      <formula>"Any loss Unacceptable"</formula>
    </cfRule>
  </conditionalFormatting>
  <conditionalFormatting sqref="L86:M86">
    <cfRule type="cellIs" dxfId="260" priority="109" operator="equal">
      <formula>"Any loss Unacceptable"</formula>
    </cfRule>
  </conditionalFormatting>
  <conditionalFormatting sqref="F39">
    <cfRule type="containsBlanks" dxfId="259" priority="169" stopIfTrue="1">
      <formula>LEN(TRIM(F39))=0</formula>
    </cfRule>
    <cfRule type="expression" dxfId="258" priority="170">
      <formula>ISNUMBER(SEARCH(F39,E39,1))</formula>
    </cfRule>
  </conditionalFormatting>
  <conditionalFormatting sqref="K11:K30">
    <cfRule type="expression" dxfId="257" priority="98">
      <formula>$AI11="Enhancement not possible"</formula>
    </cfRule>
  </conditionalFormatting>
  <conditionalFormatting sqref="I32:N32">
    <cfRule type="containsText" dxfId="256" priority="96" operator="containsText" text="error">
      <formula>NOT(ISERROR(SEARCH("error",I32)))</formula>
    </cfRule>
    <cfRule type="containsText" dxfId="255" priority="97" operator="containsText" text="acceptable">
      <formula>NOT(ISERROR(SEARCH("acceptable",I32)))</formula>
    </cfRule>
  </conditionalFormatting>
  <conditionalFormatting sqref="J2">
    <cfRule type="containsText" dxfId="254" priority="93" operator="containsText" text="Technical">
      <formula>NOT(ISERROR(SEARCH("Technical",J2)))</formula>
    </cfRule>
  </conditionalFormatting>
  <conditionalFormatting sqref="F40:F42">
    <cfRule type="containsBlanks" dxfId="253" priority="171" stopIfTrue="1">
      <formula>LEN(TRIM(F40))=0</formula>
    </cfRule>
    <cfRule type="expression" dxfId="252" priority="172">
      <formula>ISNUMBER(SEARCH(F40,E40,1))</formula>
    </cfRule>
  </conditionalFormatting>
  <conditionalFormatting sqref="F43:F58">
    <cfRule type="containsBlanks" dxfId="251" priority="90" stopIfTrue="1">
      <formula>LEN(TRIM(F43))=0</formula>
    </cfRule>
    <cfRule type="expression" dxfId="250" priority="91">
      <formula>ISNUMBER(SEARCH(F43,E43,1))</formula>
    </cfRule>
  </conditionalFormatting>
  <conditionalFormatting sqref="M66:M85">
    <cfRule type="cellIs" dxfId="249" priority="78" operator="equal">
      <formula>"Unacceptable Loss"</formula>
    </cfRule>
  </conditionalFormatting>
  <conditionalFormatting sqref="M66:M85">
    <cfRule type="cellIs" dxfId="248" priority="76" operator="equal">
      <formula>"Compensation Agreed"</formula>
    </cfRule>
    <cfRule type="cellIs" dxfId="247" priority="77" operator="equal">
      <formula>"Unacceptable Loss"</formula>
    </cfRule>
  </conditionalFormatting>
  <conditionalFormatting sqref="M66:M85">
    <cfRule type="cellIs" dxfId="246" priority="75" operator="equal">
      <formula>"Unacceptable Loss"</formula>
    </cfRule>
  </conditionalFormatting>
  <conditionalFormatting sqref="M66:M85">
    <cfRule type="cellIs" dxfId="245" priority="74" operator="equal">
      <formula>"Unacceptable Loss"</formula>
    </cfRule>
  </conditionalFormatting>
  <conditionalFormatting sqref="M66:M85">
    <cfRule type="cellIs" dxfId="244" priority="72" operator="equal">
      <formula>"Compensation Agreed"</formula>
    </cfRule>
    <cfRule type="cellIs" dxfId="243" priority="73" operator="equal">
      <formula>"Unacceptable Loss"</formula>
    </cfRule>
  </conditionalFormatting>
  <conditionalFormatting sqref="M66:M85">
    <cfRule type="cellIs" dxfId="242" priority="71" operator="equal">
      <formula>"Unacceptable Loss"</formula>
    </cfRule>
  </conditionalFormatting>
  <conditionalFormatting sqref="M66:M85">
    <cfRule type="cellIs" dxfId="241" priority="70" operator="equal">
      <formula>"Alternative Compensation"</formula>
    </cfRule>
  </conditionalFormatting>
  <conditionalFormatting sqref="F66:G85">
    <cfRule type="containsText" dxfId="240" priority="4" operator="containsText" text="not possible">
      <formula>NOT(ISERROR(SEARCH("not possible",F66)))</formula>
    </cfRule>
    <cfRule type="expression" dxfId="239" priority="67">
      <formula>$D66=""</formula>
    </cfRule>
  </conditionalFormatting>
  <conditionalFormatting sqref="E66:E85">
    <cfRule type="cellIs" dxfId="238" priority="68" operator="equal">
      <formula>"Enhancement not possible"</formula>
    </cfRule>
  </conditionalFormatting>
  <conditionalFormatting sqref="AJ66:AJ85">
    <cfRule type="cellIs" dxfId="237" priority="66" operator="equal">
      <formula>"Not Possible"</formula>
    </cfRule>
  </conditionalFormatting>
  <conditionalFormatting sqref="L11:M30">
    <cfRule type="expression" dxfId="236" priority="49">
      <formula>"p18=""Avoid"""</formula>
    </cfRule>
  </conditionalFormatting>
  <conditionalFormatting sqref="L11:M30">
    <cfRule type="cellIs" dxfId="235" priority="48" operator="equal">
      <formula>"Any loss Unacceptable"</formula>
    </cfRule>
  </conditionalFormatting>
  <conditionalFormatting sqref="L11:M30">
    <cfRule type="cellIs" dxfId="234" priority="47" operator="equal">
      <formula>"Any loss Unacceptable"</formula>
    </cfRule>
  </conditionalFormatting>
  <conditionalFormatting sqref="N11:N30">
    <cfRule type="containsText" dxfId="233" priority="33" operator="containsText" text="▲">
      <formula>NOT(ISERROR(SEARCH("▲",N11)))</formula>
    </cfRule>
    <cfRule type="cellIs" dxfId="232" priority="43" operator="equal">
      <formula>"Unacceptable Loss"</formula>
    </cfRule>
  </conditionalFormatting>
  <conditionalFormatting sqref="N11:N30">
    <cfRule type="cellIs" dxfId="231" priority="46" operator="equal">
      <formula>"Unacceptable Loss"</formula>
    </cfRule>
  </conditionalFormatting>
  <conditionalFormatting sqref="N11:N30">
    <cfRule type="cellIs" dxfId="230" priority="44" operator="equal">
      <formula>"Compensation Agreed"</formula>
    </cfRule>
    <cfRule type="cellIs" dxfId="229" priority="45" operator="equal">
      <formula>"Unacceptable Loss"</formula>
    </cfRule>
  </conditionalFormatting>
  <conditionalFormatting sqref="N11:N30">
    <cfRule type="cellIs" dxfId="228" priority="42" operator="equal">
      <formula>"Unacceptable Loss"</formula>
    </cfRule>
  </conditionalFormatting>
  <conditionalFormatting sqref="N11:N30">
    <cfRule type="cellIs" dxfId="227" priority="40" operator="equal">
      <formula>"Compensation Agreed"</formula>
    </cfRule>
    <cfRule type="cellIs" dxfId="226" priority="41" operator="equal">
      <formula>"Unacceptable Loss"</formula>
    </cfRule>
  </conditionalFormatting>
  <conditionalFormatting sqref="N11:N30">
    <cfRule type="cellIs" dxfId="225" priority="39" operator="equal">
      <formula>"Unacceptable Loss"</formula>
    </cfRule>
  </conditionalFormatting>
  <conditionalFormatting sqref="N11:N30">
    <cfRule type="cellIs" dxfId="224" priority="38" operator="equal">
      <formula>"Alternative Compensation"</formula>
    </cfRule>
  </conditionalFormatting>
  <conditionalFormatting sqref="M11:M30">
    <cfRule type="containsText" dxfId="223" priority="37" operator="containsText" text="error">
      <formula>NOT(ISERROR(SEARCH("error",M11)))</formula>
    </cfRule>
  </conditionalFormatting>
  <conditionalFormatting sqref="N11:N30">
    <cfRule type="containsText" dxfId="222" priority="36" operator="containsText" text="error">
      <formula>NOT(ISERROR(SEARCH("error",N11)))</formula>
    </cfRule>
  </conditionalFormatting>
  <conditionalFormatting sqref="L11:L30">
    <cfRule type="containsText" dxfId="221" priority="35" operator="containsText" text="value">
      <formula>NOT(ISERROR(SEARCH("value",L11)))</formula>
    </cfRule>
  </conditionalFormatting>
  <conditionalFormatting sqref="L11:L30">
    <cfRule type="containsText" dxfId="220" priority="34" operator="containsText" text="▲">
      <formula>NOT(ISERROR(SEARCH("▲",L11)))</formula>
    </cfRule>
  </conditionalFormatting>
  <conditionalFormatting sqref="L39:M58">
    <cfRule type="cellIs" dxfId="219" priority="32" operator="equal">
      <formula>"Unacceptable Loss"</formula>
    </cfRule>
  </conditionalFormatting>
  <conditionalFormatting sqref="L39:M58">
    <cfRule type="cellIs" dxfId="218" priority="30" operator="equal">
      <formula>"Compensation Agreed"</formula>
    </cfRule>
    <cfRule type="cellIs" dxfId="217" priority="31" operator="equal">
      <formula>"Unacceptable Loss"</formula>
    </cfRule>
  </conditionalFormatting>
  <conditionalFormatting sqref="L39:M58">
    <cfRule type="cellIs" dxfId="216" priority="29" operator="equal">
      <formula>"Unacceptable Loss"</formula>
    </cfRule>
  </conditionalFormatting>
  <conditionalFormatting sqref="L39:M58">
    <cfRule type="cellIs" dxfId="215" priority="28" operator="equal">
      <formula>"Unacceptable Loss"</formula>
    </cfRule>
  </conditionalFormatting>
  <conditionalFormatting sqref="L39:M58">
    <cfRule type="cellIs" dxfId="214" priority="26" operator="equal">
      <formula>"Compensation Agreed"</formula>
    </cfRule>
    <cfRule type="cellIs" dxfId="213" priority="27" operator="equal">
      <formula>"Unacceptable Loss"</formula>
    </cfRule>
  </conditionalFormatting>
  <conditionalFormatting sqref="L39:M58">
    <cfRule type="cellIs" dxfId="212" priority="25" operator="equal">
      <formula>"Unacceptable Loss"</formula>
    </cfRule>
  </conditionalFormatting>
  <conditionalFormatting sqref="L39:M58">
    <cfRule type="cellIs" dxfId="211" priority="24" operator="equal">
      <formula>"Alternative Compensation"</formula>
    </cfRule>
  </conditionalFormatting>
  <conditionalFormatting sqref="L39:N58">
    <cfRule type="containsText" dxfId="210" priority="22" operator="containsText" text="▲">
      <formula>NOT(ISERROR(SEARCH("▲",L39)))</formula>
    </cfRule>
    <cfRule type="containsText" dxfId="209" priority="23" operator="containsText" text="value">
      <formula>NOT(ISERROR(SEARCH("value",L39)))</formula>
    </cfRule>
  </conditionalFormatting>
  <conditionalFormatting sqref="L66:L85">
    <cfRule type="cellIs" dxfId="208" priority="21" operator="equal">
      <formula>"Unacceptable Loss"</formula>
    </cfRule>
  </conditionalFormatting>
  <conditionalFormatting sqref="L66:L85">
    <cfRule type="cellIs" dxfId="207" priority="19" operator="equal">
      <formula>"Compensation Agreed"</formula>
    </cfRule>
    <cfRule type="cellIs" dxfId="206" priority="20" operator="equal">
      <formula>"Unacceptable Loss"</formula>
    </cfRule>
  </conditionalFormatting>
  <conditionalFormatting sqref="L66:L85">
    <cfRule type="cellIs" dxfId="205" priority="18" operator="equal">
      <formula>"Unacceptable Loss"</formula>
    </cfRule>
  </conditionalFormatting>
  <conditionalFormatting sqref="L66:L85">
    <cfRule type="cellIs" dxfId="204" priority="17" operator="equal">
      <formula>"Unacceptable Loss"</formula>
    </cfRule>
  </conditionalFormatting>
  <conditionalFormatting sqref="L66:L85">
    <cfRule type="cellIs" dxfId="203" priority="15" operator="equal">
      <formula>"Compensation Agreed"</formula>
    </cfRule>
    <cfRule type="cellIs" dxfId="202" priority="16" operator="equal">
      <formula>"Unacceptable Loss"</formula>
    </cfRule>
  </conditionalFormatting>
  <conditionalFormatting sqref="L66:L85">
    <cfRule type="cellIs" dxfId="201" priority="14" operator="equal">
      <formula>"Unacceptable Loss"</formula>
    </cfRule>
  </conditionalFormatting>
  <conditionalFormatting sqref="L66:L85">
    <cfRule type="cellIs" dxfId="200" priority="13" operator="equal">
      <formula>"Alternative Compensation"</formula>
    </cfRule>
  </conditionalFormatting>
  <conditionalFormatting sqref="L66:L85">
    <cfRule type="containsText" dxfId="199" priority="12" operator="containsText" text="▲">
      <formula>NOT(ISERROR(SEARCH("▲",L66)))</formula>
    </cfRule>
  </conditionalFormatting>
  <conditionalFormatting sqref="I33:N33">
    <cfRule type="containsText" dxfId="198" priority="10" operator="containsText" text="▲">
      <formula>NOT(ISERROR(SEARCH("▲",I33)))</formula>
    </cfRule>
    <cfRule type="containsText" dxfId="197" priority="11" operator="containsText" text="✓">
      <formula>NOT(ISERROR(SEARCH("✓",I33)))</formula>
    </cfRule>
  </conditionalFormatting>
  <conditionalFormatting sqref="I60:N60">
    <cfRule type="containsText" dxfId="196" priority="8" operator="containsText" text="▲">
      <formula>NOT(ISERROR(SEARCH("▲",I60)))</formula>
    </cfRule>
    <cfRule type="containsText" dxfId="195" priority="9" operator="containsText" text="✓">
      <formula>NOT(ISERROR(SEARCH("✓",I60)))</formula>
    </cfRule>
  </conditionalFormatting>
  <conditionalFormatting sqref="I59:K59">
    <cfRule type="cellIs" dxfId="194" priority="7" operator="greaterThan">
      <formula>5000</formula>
    </cfRule>
  </conditionalFormatting>
  <conditionalFormatting sqref="M66:N85">
    <cfRule type="containsText" dxfId="193" priority="6" operator="containsText" text="Error">
      <formula>NOT(ISERROR(SEARCH("Error",M66)))</formula>
    </cfRule>
  </conditionalFormatting>
  <conditionalFormatting sqref="J66:K85">
    <cfRule type="containsText" dxfId="192" priority="5" operator="containsText" text="▲">
      <formula>NOT(ISERROR(SEARCH("▲",J66)))</formula>
    </cfRule>
  </conditionalFormatting>
  <conditionalFormatting sqref="P1:P5">
    <cfRule type="containsText" dxfId="191" priority="3" operator="containsText" text="▲">
      <formula>NOT(ISERROR(SEARCH("▲",P1)))</formula>
    </cfRule>
  </conditionalFormatting>
  <conditionalFormatting sqref="H103 H109 H113">
    <cfRule type="containsText" dxfId="190" priority="1" operator="containsText" text="No">
      <formula>NOT(ISERROR(SEARCH("No",H103)))</formula>
    </cfRule>
    <cfRule type="containsText" dxfId="189" priority="2" operator="containsText" text="Yes">
      <formula>NOT(ISERROR(SEARCH("Yes",H103)))</formula>
    </cfRule>
  </conditionalFormatting>
  <dataValidations count="2">
    <dataValidation type="list" allowBlank="1" showInputMessage="1" showErrorMessage="1" sqref="D39:D58 D11:E30" xr:uid="{7D3D9B2A-BCB5-41E4-B5D3-E457E3DB4503}">
      <formula1>INDIRECT(SUBSTITUTE(C11," ",""))</formula1>
    </dataValidation>
    <dataValidation type="list" allowBlank="1" showInputMessage="1" showErrorMessage="1" sqref="F66:G85" xr:uid="{4A2C1BE2-CD6D-4762-A49A-AC126D34451A}">
      <formula1>INDIRECT(BV66)</formula1>
    </dataValidation>
  </dataValidations>
  <pageMargins left="0.7" right="0.7" top="0.75" bottom="0.75" header="0.3" footer="0.3"/>
  <pageSetup paperSize="9" scale="2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2C0E9C2-CEE1-4CB8-AE5E-A0B49E7D9DD3}">
          <x14:formula1>
            <xm:f>'11. Lists'!$F$36:$F$37</xm:f>
          </x14:formula1>
          <xm:sqref>H39:H58 H66:H85 F11:H30</xm:sqref>
        </x14:dataValidation>
        <x14:dataValidation type="list" allowBlank="1" showInputMessage="1" showErrorMessage="1" xr:uid="{3675A298-2DFD-47BB-8AD3-F19466E7358F}">
          <x14:formula1>
            <xm:f>'11. Lists'!$F$47:$F$51</xm:f>
          </x14:formula1>
          <xm:sqref>F39:F58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26D46-9318-4FB5-8390-2A31F88ADFD5}">
  <sheetPr codeName="Sheet4">
    <tabColor rgb="FF0033CC"/>
    <pageSetUpPr fitToPage="1"/>
  </sheetPr>
  <dimension ref="A1:CC140"/>
  <sheetViews>
    <sheetView zoomScale="80" zoomScaleNormal="80" workbookViewId="0"/>
  </sheetViews>
  <sheetFormatPr defaultColWidth="0" defaultRowHeight="14.4" zeroHeight="1" x14ac:dyDescent="0.3"/>
  <cols>
    <col min="1" max="1" width="4.5546875" customWidth="1"/>
    <col min="2" max="2" width="14.77734375" customWidth="1"/>
    <col min="3" max="3" width="24.44140625" customWidth="1"/>
    <col min="4" max="4" width="40.21875" customWidth="1"/>
    <col min="5" max="5" width="27" customWidth="1"/>
    <col min="6" max="6" width="20.5546875" customWidth="1"/>
    <col min="7" max="7" width="33.21875" customWidth="1"/>
    <col min="8" max="8" width="35.21875" customWidth="1"/>
    <col min="9" max="9" width="14.5546875" customWidth="1"/>
    <col min="10" max="10" width="12.77734375" customWidth="1"/>
    <col min="11" max="11" width="11.44140625" customWidth="1"/>
    <col min="12" max="12" width="13" customWidth="1"/>
    <col min="13" max="14" width="11.44140625" customWidth="1"/>
    <col min="15" max="16" width="27" customWidth="1"/>
    <col min="17" max="18" width="11.44140625" customWidth="1"/>
    <col min="19" max="19" width="7.21875" customWidth="1"/>
    <col min="20" max="20" width="14.44140625" customWidth="1"/>
    <col min="21" max="21" width="14.77734375" customWidth="1"/>
    <col min="22" max="22" width="20.77734375" bestFit="1" customWidth="1"/>
    <col min="23" max="23" width="23.77734375" customWidth="1"/>
    <col min="24" max="24" width="16.77734375" bestFit="1" customWidth="1"/>
    <col min="25" max="25" width="14" hidden="1" customWidth="1"/>
    <col min="26" max="26" width="21.21875" hidden="1" customWidth="1"/>
    <col min="27" max="27" width="14" hidden="1" customWidth="1"/>
    <col min="28" max="28" width="33.77734375" customWidth="1"/>
    <col min="29" max="30" width="32.77734375" customWidth="1"/>
    <col min="31" max="31" width="18.77734375" customWidth="1"/>
    <col min="32" max="32" width="23.77734375" customWidth="1"/>
    <col min="33" max="33" width="16.77734375" customWidth="1"/>
    <col min="34" max="34" width="35.77734375" customWidth="1"/>
    <col min="35" max="35" width="76.21875" customWidth="1"/>
    <col min="36" max="36" width="23.5546875" style="469" customWidth="1"/>
    <col min="37" max="37" width="4.44140625" style="469" hidden="1" customWidth="1"/>
    <col min="38" max="38" width="5.21875" style="469" hidden="1" customWidth="1"/>
    <col min="39" max="39" width="6.77734375" style="469" hidden="1" customWidth="1"/>
    <col min="40" max="40" width="12.21875" style="469" customWidth="1"/>
    <col min="41" max="41" width="34.21875" bestFit="1" customWidth="1"/>
    <col min="42" max="42" width="19.77734375" bestFit="1" customWidth="1"/>
    <col min="43" max="43" width="16.21875" bestFit="1" customWidth="1"/>
    <col min="44" max="47" width="27.21875" customWidth="1"/>
    <col min="48" max="48" width="21.21875" bestFit="1" customWidth="1"/>
    <col min="49" max="49" width="37.5546875" customWidth="1"/>
    <col min="50" max="50" width="68.21875" customWidth="1"/>
    <col min="51" max="51" width="26.5546875" customWidth="1"/>
    <col min="52" max="52" width="24.44140625" customWidth="1"/>
    <col min="53" max="81" width="8.77734375" customWidth="1"/>
    <col min="82" max="16384" width="8.77734375" hidden="1"/>
  </cols>
  <sheetData>
    <row r="1" spans="1:44" s="25" customFormat="1" ht="15.75" customHeight="1" thickBot="1" x14ac:dyDescent="0.35">
      <c r="I1" s="52"/>
      <c r="J1" s="52"/>
      <c r="K1" s="52"/>
      <c r="L1" s="52"/>
      <c r="M1" s="52"/>
      <c r="N1" s="52"/>
      <c r="O1" s="154" t="s">
        <v>51</v>
      </c>
      <c r="P1" s="277">
        <f>IFERROR(SUM(AE11:AE30), "Error ▲")</f>
        <v>0</v>
      </c>
      <c r="R1" s="741" t="s">
        <v>52</v>
      </c>
      <c r="T1" s="26"/>
      <c r="AJ1" s="157"/>
      <c r="AK1" s="157"/>
      <c r="AL1" s="157"/>
      <c r="AM1" s="157"/>
      <c r="AN1" s="157"/>
    </row>
    <row r="2" spans="1:44" s="25" customFormat="1" ht="19.95" customHeight="1" x14ac:dyDescent="0.35">
      <c r="B2" s="80" t="s">
        <v>53</v>
      </c>
      <c r="C2" s="704" t="str">
        <f>IF('2. Site Details'!D4="","Enter site name on 2. Site Details",'2. Site Details'!D4)</f>
        <v>Toad Hall Farm</v>
      </c>
      <c r="D2" s="705"/>
      <c r="F2" s="770" t="s">
        <v>244</v>
      </c>
      <c r="G2" s="771"/>
      <c r="H2" s="772"/>
      <c r="I2" s="81"/>
      <c r="J2" s="784" t="str" cm="1">
        <f t="array" aca="1" ref="J2" ca="1">IFERROR(IF(OR((ISNUMBER(SEARCH("▲",A7:Q101)))),"Input Errors Present On Sheet - Red Cells Or ▲ Highlight Errors","All Key Rules Satisfied ✓ "),"Technical Errors On Sheet ▲")</f>
        <v xml:space="preserve">All Key Rules Satisfied ✓ </v>
      </c>
      <c r="K2" s="784"/>
      <c r="L2" s="784"/>
      <c r="M2" s="784"/>
      <c r="N2" s="81"/>
      <c r="O2" s="83" t="s">
        <v>55</v>
      </c>
      <c r="P2" s="277">
        <f>IFERROR(N31, "Error ▲")</f>
        <v>0</v>
      </c>
      <c r="R2" s="741"/>
      <c r="T2" s="26"/>
      <c r="AJ2" s="157"/>
      <c r="AK2" s="157"/>
      <c r="AL2" s="157"/>
      <c r="AM2" s="157"/>
      <c r="AN2" s="157"/>
    </row>
    <row r="3" spans="1:44" s="25" customFormat="1" ht="19.95" customHeight="1" thickBot="1" x14ac:dyDescent="0.4">
      <c r="B3" s="82" t="s">
        <v>13</v>
      </c>
      <c r="C3" s="706" t="s">
        <v>245</v>
      </c>
      <c r="D3" s="707"/>
      <c r="F3" s="773"/>
      <c r="G3" s="774"/>
      <c r="H3" s="775"/>
      <c r="I3" s="81"/>
      <c r="J3" s="784"/>
      <c r="K3" s="784"/>
      <c r="L3" s="784"/>
      <c r="M3" s="784"/>
      <c r="N3" s="81"/>
      <c r="O3" s="83" t="s">
        <v>57</v>
      </c>
      <c r="P3" s="277">
        <f>IFERROR(L59, "Error ▲")</f>
        <v>0</v>
      </c>
      <c r="R3" s="741"/>
      <c r="T3" s="26"/>
      <c r="AJ3" s="157"/>
      <c r="AK3" s="157"/>
      <c r="AL3" s="157"/>
      <c r="AM3" s="157"/>
      <c r="AN3" s="157"/>
    </row>
    <row r="4" spans="1:44" s="25" customFormat="1" ht="19.95" customHeight="1" x14ac:dyDescent="0.3">
      <c r="B4" s="84"/>
      <c r="C4" s="84"/>
      <c r="D4" s="84"/>
      <c r="F4" s="773"/>
      <c r="G4" s="774"/>
      <c r="H4" s="775"/>
      <c r="I4" s="81"/>
      <c r="J4" s="784"/>
      <c r="K4" s="784"/>
      <c r="L4" s="784"/>
      <c r="M4" s="784"/>
      <c r="N4" s="81"/>
      <c r="O4" s="83" t="s">
        <v>58</v>
      </c>
      <c r="P4" s="277">
        <f>IFERROR(L86, "Error ▲")</f>
        <v>0</v>
      </c>
      <c r="R4" s="741"/>
      <c r="T4" s="26"/>
      <c r="AJ4" s="157"/>
      <c r="AK4" s="157"/>
      <c r="AL4" s="157"/>
      <c r="AM4" s="157"/>
      <c r="AN4" s="157"/>
    </row>
    <row r="5" spans="1:44" s="25" customFormat="1" ht="19.95" customHeight="1" thickBot="1" x14ac:dyDescent="0.35">
      <c r="A5" s="85"/>
      <c r="F5" s="773"/>
      <c r="G5" s="774"/>
      <c r="H5" s="775"/>
      <c r="I5" s="81"/>
      <c r="J5" s="784"/>
      <c r="K5" s="784"/>
      <c r="L5" s="784"/>
      <c r="M5" s="784"/>
      <c r="N5" s="81"/>
      <c r="O5" s="86" t="s">
        <v>59</v>
      </c>
      <c r="P5" s="278">
        <f>IFERROR(P1+L59+L86-L31, "Error ▲")</f>
        <v>0</v>
      </c>
      <c r="R5" s="741"/>
      <c r="T5" s="26"/>
      <c r="AJ5" s="157"/>
      <c r="AK5" s="157"/>
      <c r="AL5" s="157"/>
      <c r="AM5" s="157"/>
      <c r="AN5" s="157"/>
    </row>
    <row r="6" spans="1:44" s="25" customFormat="1" ht="13.2" customHeight="1" thickBot="1" x14ac:dyDescent="0.35">
      <c r="A6" s="85"/>
      <c r="F6" s="776"/>
      <c r="G6" s="777"/>
      <c r="H6" s="778"/>
      <c r="I6" s="52"/>
      <c r="J6" s="52"/>
      <c r="K6" s="26"/>
      <c r="L6" s="52"/>
      <c r="M6" s="52"/>
      <c r="N6" s="52"/>
      <c r="O6" s="87"/>
      <c r="P6" s="26"/>
      <c r="R6" s="741"/>
      <c r="T6" s="26"/>
      <c r="AJ6" s="157"/>
      <c r="AK6" s="157"/>
      <c r="AL6" s="157"/>
      <c r="AM6" s="157"/>
      <c r="AN6" s="157"/>
      <c r="AR6" s="157"/>
    </row>
    <row r="7" spans="1:44" s="25" customFormat="1" ht="19.2" customHeight="1" x14ac:dyDescent="0.45">
      <c r="B7" s="57" t="s">
        <v>60</v>
      </c>
      <c r="D7" s="88"/>
      <c r="H7" s="26"/>
      <c r="K7" s="26"/>
      <c r="L7" s="496"/>
      <c r="M7" s="30"/>
      <c r="N7" s="30"/>
      <c r="R7" s="741"/>
      <c r="T7" s="26"/>
      <c r="AJ7" s="157"/>
      <c r="AK7" s="157"/>
      <c r="AL7" s="157"/>
      <c r="AM7" s="157"/>
      <c r="AN7" s="157"/>
      <c r="AR7" s="157"/>
    </row>
    <row r="8" spans="1:44" s="25" customFormat="1" ht="10.95" customHeight="1" thickBot="1" x14ac:dyDescent="0.35">
      <c r="A8" s="89"/>
      <c r="R8" s="741"/>
      <c r="AJ8" s="157"/>
      <c r="AK8" s="157"/>
      <c r="AL8" s="157"/>
      <c r="AM8" s="157"/>
      <c r="AN8" s="157"/>
      <c r="AR8" s="157"/>
    </row>
    <row r="9" spans="1:44" s="25" customFormat="1" ht="29.55" customHeight="1" thickBot="1" x14ac:dyDescent="0.35">
      <c r="A9" s="89"/>
      <c r="B9" s="719" t="s">
        <v>46</v>
      </c>
      <c r="C9" s="708" t="s">
        <v>61</v>
      </c>
      <c r="D9" s="718"/>
      <c r="E9" s="710"/>
      <c r="F9" s="654" t="s">
        <v>62</v>
      </c>
      <c r="G9" s="782"/>
      <c r="H9" s="655"/>
      <c r="I9" s="708" t="s">
        <v>246</v>
      </c>
      <c r="J9" s="718"/>
      <c r="K9" s="710"/>
      <c r="L9" s="796" t="s">
        <v>64</v>
      </c>
      <c r="M9" s="797"/>
      <c r="N9" s="798"/>
      <c r="O9" s="796" t="s">
        <v>65</v>
      </c>
      <c r="P9" s="798"/>
      <c r="R9" s="741"/>
      <c r="T9" s="684" t="s">
        <v>66</v>
      </c>
      <c r="U9" s="685"/>
      <c r="V9" s="686"/>
      <c r="W9" s="941" t="s">
        <v>67</v>
      </c>
      <c r="X9" s="942"/>
      <c r="Y9" s="800"/>
      <c r="Z9" s="800"/>
      <c r="AA9" s="800"/>
      <c r="AB9" s="941" t="s">
        <v>68</v>
      </c>
      <c r="AC9" s="943"/>
      <c r="AD9" s="942"/>
      <c r="AE9" s="684" t="s">
        <v>69</v>
      </c>
      <c r="AF9" s="685"/>
      <c r="AG9" s="686"/>
      <c r="AH9" s="684" t="s">
        <v>70</v>
      </c>
      <c r="AI9" s="876" t="s">
        <v>71</v>
      </c>
      <c r="AJ9" s="929" t="s">
        <v>247</v>
      </c>
      <c r="AK9" s="157"/>
      <c r="AL9" s="157"/>
      <c r="AM9" s="157"/>
      <c r="AN9" s="431"/>
      <c r="AR9" s="157"/>
    </row>
    <row r="10" spans="1:44" s="25" customFormat="1" ht="31.8" thickBot="1" x14ac:dyDescent="0.35">
      <c r="A10" s="89"/>
      <c r="B10" s="667"/>
      <c r="C10" s="86" t="s">
        <v>72</v>
      </c>
      <c r="D10" s="896" t="s">
        <v>73</v>
      </c>
      <c r="E10" s="897"/>
      <c r="F10" s="936"/>
      <c r="G10" s="937"/>
      <c r="H10" s="938"/>
      <c r="I10" s="86" t="s">
        <v>218</v>
      </c>
      <c r="J10" s="197" t="s">
        <v>219</v>
      </c>
      <c r="K10" s="90" t="s">
        <v>220</v>
      </c>
      <c r="L10" s="86" t="s">
        <v>221</v>
      </c>
      <c r="M10" s="197" t="s">
        <v>222</v>
      </c>
      <c r="N10" s="90" t="s">
        <v>79</v>
      </c>
      <c r="O10" s="86" t="s">
        <v>80</v>
      </c>
      <c r="P10" s="90" t="s">
        <v>81</v>
      </c>
      <c r="R10" s="741"/>
      <c r="T10" s="785" t="s">
        <v>82</v>
      </c>
      <c r="U10" s="786"/>
      <c r="V10" s="92" t="s">
        <v>83</v>
      </c>
      <c r="W10" s="373" t="s">
        <v>84</v>
      </c>
      <c r="X10" s="369" t="s">
        <v>83</v>
      </c>
      <c r="Y10" s="371"/>
      <c r="Z10" s="365"/>
      <c r="AA10" s="365"/>
      <c r="AB10" s="354" t="s">
        <v>68</v>
      </c>
      <c r="AC10" s="354" t="s">
        <v>68</v>
      </c>
      <c r="AD10" s="369" t="s">
        <v>85</v>
      </c>
      <c r="AE10" s="91" t="s">
        <v>86</v>
      </c>
      <c r="AF10" s="49" t="s">
        <v>87</v>
      </c>
      <c r="AG10" s="92" t="s">
        <v>88</v>
      </c>
      <c r="AH10" s="785"/>
      <c r="AI10" s="940"/>
      <c r="AJ10" s="929"/>
      <c r="AK10" s="157"/>
      <c r="AL10" s="157"/>
      <c r="AM10" s="157"/>
      <c r="AO10" s="431"/>
      <c r="AR10" s="157" t="s">
        <v>248</v>
      </c>
    </row>
    <row r="11" spans="1:44" s="25" customFormat="1" ht="15.6" x14ac:dyDescent="0.3">
      <c r="A11" s="89"/>
      <c r="B11" s="270">
        <v>1</v>
      </c>
      <c r="C11" s="555" t="s">
        <v>249</v>
      </c>
      <c r="D11" s="826"/>
      <c r="E11" s="826"/>
      <c r="F11" s="939"/>
      <c r="G11" s="939"/>
      <c r="H11" s="939"/>
      <c r="I11" s="470"/>
      <c r="J11" s="303"/>
      <c r="K11" s="304"/>
      <c r="L11" s="465" t="str">
        <f>IF(D11="","",IFERROR(IF(I11="","",((I11/1000)*V11*X11)*AD11*AJ11),"This intervention is not permitted within the SSM ▲"))</f>
        <v/>
      </c>
      <c r="M11" s="408" t="str">
        <f>IF(I11="","",IF(J11+K11&gt;I11,"Length Error ▲",I11-J11-K11))</f>
        <v/>
      </c>
      <c r="N11" s="465" t="str">
        <f>IFERROR(IF(I11="","",IF(M11="Length Error ▲","Length Error ▲",((M11/1000)*V11*X11)*AD11*AJ11)),"This intervention is not permitted within the SSM ▲")</f>
        <v/>
      </c>
      <c r="O11" s="68"/>
      <c r="P11" s="144"/>
      <c r="R11" s="741"/>
      <c r="T11" s="787" t="str">
        <f>IF(D11="","",VLOOKUP(D11,'9. All Habitats + Multipliers'!$C$4:$K$102,5,FALSE))</f>
        <v/>
      </c>
      <c r="U11" s="788"/>
      <c r="V11" s="96" t="str">
        <f>IF(T11="","",VLOOKUP(T11,'11. Lists'!$B$47:$D$49,2,FALSE))</f>
        <v/>
      </c>
      <c r="W11" s="93" t="str">
        <f>IF(D11="","",VLOOKUP(D11,'10. Condition and Temporal'!$B$6:$C$103,2,FALSE))</f>
        <v/>
      </c>
      <c r="X11" s="96" t="str">
        <f>IF(W11="","",VLOOKUP(W11,'11. Lists'!$F$47:$G$51,2,FALSE))</f>
        <v/>
      </c>
      <c r="Y11" s="372"/>
      <c r="Z11" s="343"/>
      <c r="AA11" s="370"/>
      <c r="AB11" s="95" t="str">
        <f>IF(F11="","",F11)</f>
        <v/>
      </c>
      <c r="AC11" s="95" t="str">
        <f>IF(AB11="","",VLOOKUP(AB11,'11. Lists'!$F$36:$H$38,2,FALSE))</f>
        <v/>
      </c>
      <c r="AD11" s="94" t="str">
        <f>IF(AB11="","",VLOOKUP(AB11,'11. Lists'!$F$36:$H$38,3,FALSE))</f>
        <v/>
      </c>
      <c r="AE11" s="298" t="str">
        <f>IF(D11="","",((J11/1000)*V11*X11)*AD11*AJ11)</f>
        <v/>
      </c>
      <c r="AF11" s="299" t="str">
        <f>IF(D11="","",((K11/1000)*V11*X11)*AD11*AJ11)</f>
        <v/>
      </c>
      <c r="AG11" s="300" t="str">
        <f>IF(D11="","",M11)</f>
        <v/>
      </c>
      <c r="AH11" s="93" t="str">
        <f>IF(T11="","",VLOOKUP(T11,'11. Lists'!$B$47:$D$49,3,FALSE))</f>
        <v/>
      </c>
      <c r="AI11" s="344" t="str">
        <f>IF(D11="","",VLOOKUP(D11,'10. Condition and Temporal'!$B$6:$L$103,4,FALSE))</f>
        <v/>
      </c>
      <c r="AJ11" s="475" t="str" cm="1">
        <f t="array" ref="AJ11:AK30">IF($D$11:$E$30="Culvert","0.68","1")</f>
        <v>1</v>
      </c>
      <c r="AK11" s="157" t="str">
        <v>1</v>
      </c>
      <c r="AL11" s="157"/>
      <c r="AM11" s="157"/>
      <c r="AN11" s="431"/>
      <c r="AR11" s="157" t="str">
        <f>IF(D11="","",IFERROR(IF(I11="","",((I11/1000)*V11*X11)*AD11),"This intervention is not permitted within the SSM ▲"))</f>
        <v/>
      </c>
    </row>
    <row r="12" spans="1:44" s="25" customFormat="1" ht="15.6" x14ac:dyDescent="0.3">
      <c r="B12" s="264">
        <v>2</v>
      </c>
      <c r="C12" s="556" t="s">
        <v>249</v>
      </c>
      <c r="D12" s="826"/>
      <c r="E12" s="826"/>
      <c r="F12" s="939"/>
      <c r="G12" s="939"/>
      <c r="H12" s="939"/>
      <c r="I12" s="471"/>
      <c r="J12" s="306"/>
      <c r="K12" s="307"/>
      <c r="L12" s="466" t="str">
        <f t="shared" ref="L12:L30" si="0">IF(D12="","",IFERROR(IF(I12="","",((I12/1000)*V12*X12)*AD12*AJ12),"This intervention is not permitted within the SSM ▲"))</f>
        <v/>
      </c>
      <c r="M12" s="301" t="str">
        <f>IF(I12="","",IF(J12+K12&gt;I12,"Length Error ▲",I12-J12-K12))</f>
        <v/>
      </c>
      <c r="N12" s="466" t="str">
        <f t="shared" ref="N12:N30" si="1">IFERROR(IF(I12="","",IF(M12="Length Error ▲","Length Error ▲",((M12/1000)*V12*X12)*AD12*AJ12)),"This intervention is not permitted within the SSM ▲")</f>
        <v/>
      </c>
      <c r="O12" s="68"/>
      <c r="P12" s="3"/>
      <c r="R12" s="741"/>
      <c r="T12" s="787" t="str">
        <f>IF(D12="","",VLOOKUP(D12,'9. All Habitats + Multipliers'!$C$4:$K$102,5,FALSE))</f>
        <v/>
      </c>
      <c r="U12" s="788"/>
      <c r="V12" s="96" t="str">
        <f>IF(T12="","",VLOOKUP(T12,'11. Lists'!$B$47:$D$49,2,FALSE))</f>
        <v/>
      </c>
      <c r="W12" s="93" t="str">
        <f>IF(D12="","",VLOOKUP(D12,'10. Condition and Temporal'!$B$6:$C$103,2,FALSE))</f>
        <v/>
      </c>
      <c r="X12" s="96" t="str">
        <f>IF(W12="","",VLOOKUP(W12,'11. Lists'!$F$47:$G$51,2,FALSE))</f>
        <v/>
      </c>
      <c r="Y12" s="372"/>
      <c r="Z12" s="343"/>
      <c r="AA12" s="370"/>
      <c r="AB12" s="95" t="str">
        <f>IF(F12="","",F12)</f>
        <v/>
      </c>
      <c r="AC12" s="95" t="str">
        <f>IF(AB12="","",VLOOKUP(AB12,'11. Lists'!$F$36:$H$38,2,FALSE))</f>
        <v/>
      </c>
      <c r="AD12" s="94" t="str">
        <f>IF(AB12="","",VLOOKUP(AB12,'11. Lists'!$F$36:$H$38,3,FALSE))</f>
        <v/>
      </c>
      <c r="AE12" s="298" t="str">
        <f t="shared" ref="AE12:AE30" si="2">IF(D12="","",((J12/1000)*V12*X12)*AD12*AJ12)</f>
        <v/>
      </c>
      <c r="AF12" s="299" t="str">
        <f t="shared" ref="AF12:AF30" si="3">IF(D12="","",((K12/1000)*V12*X12)*AD12*AJ12)</f>
        <v/>
      </c>
      <c r="AG12" s="300" t="str">
        <f t="shared" ref="AG12:AG30" si="4">IF(D12="","",M12)</f>
        <v/>
      </c>
      <c r="AH12" s="93" t="str">
        <f>IF(T12="","",VLOOKUP(T12,'11. Lists'!$B$47:$D$49,3,FALSE))</f>
        <v/>
      </c>
      <c r="AI12" s="344" t="str">
        <f>IF(D12="","",VLOOKUP(D12,'10. Condition and Temporal'!$B$6:$L$103,4,FALSE))</f>
        <v/>
      </c>
      <c r="AJ12" s="475" t="str">
        <v>1</v>
      </c>
      <c r="AK12" s="157" t="str">
        <v>1</v>
      </c>
      <c r="AL12" s="157"/>
      <c r="AM12" s="157"/>
      <c r="AN12" s="431"/>
      <c r="AR12" s="157" t="str">
        <f t="shared" ref="AR12:AR30" si="5">IF(D12="","",IFERROR(IF(I12="","",((I12/1000)*V12*X12)*AD12),"This intervention is not permitted within the SSM ▲"))</f>
        <v/>
      </c>
    </row>
    <row r="13" spans="1:44" s="25" customFormat="1" ht="15.6" x14ac:dyDescent="0.3">
      <c r="B13" s="264">
        <v>3</v>
      </c>
      <c r="C13" s="556" t="s">
        <v>249</v>
      </c>
      <c r="D13" s="826"/>
      <c r="E13" s="826"/>
      <c r="F13" s="939"/>
      <c r="G13" s="939"/>
      <c r="H13" s="939"/>
      <c r="I13" s="471"/>
      <c r="J13" s="306"/>
      <c r="K13" s="307"/>
      <c r="L13" s="466" t="str">
        <f t="shared" si="0"/>
        <v/>
      </c>
      <c r="M13" s="301" t="str">
        <f t="shared" ref="M13:M29" si="6">IF(I13="","",IF(J13+K13&gt;I13,"Length Error ▲",I13-J13-K13))</f>
        <v/>
      </c>
      <c r="N13" s="466" t="str">
        <f t="shared" si="1"/>
        <v/>
      </c>
      <c r="O13" s="68"/>
      <c r="P13" s="3"/>
      <c r="R13" s="741"/>
      <c r="T13" s="787" t="str">
        <f>IF(D13="","",VLOOKUP(D13,'9. All Habitats + Multipliers'!$C$4:$K$102,5,FALSE))</f>
        <v/>
      </c>
      <c r="U13" s="788"/>
      <c r="V13" s="96" t="str">
        <f>IF(T13="","",VLOOKUP(T13,'11. Lists'!$B$47:$D$49,2,FALSE))</f>
        <v/>
      </c>
      <c r="W13" s="93" t="str">
        <f>IF(D13="","",VLOOKUP(D13,'10. Condition and Temporal'!$B$6:$C$103,2,FALSE))</f>
        <v/>
      </c>
      <c r="X13" s="96" t="str">
        <f>IF(W13="","",VLOOKUP(W13,'11. Lists'!$F$47:$G$51,2,FALSE))</f>
        <v/>
      </c>
      <c r="Y13" s="372"/>
      <c r="Z13" s="343"/>
      <c r="AA13" s="370"/>
      <c r="AB13" s="95" t="str">
        <f t="shared" ref="AB13:AB30" si="7">IF(F13="","",F13)</f>
        <v/>
      </c>
      <c r="AC13" s="95" t="str">
        <f>IF(AB13="","",VLOOKUP(AB13,'11. Lists'!$F$36:$H$38,2,FALSE))</f>
        <v/>
      </c>
      <c r="AD13" s="94" t="str">
        <f>IF(AB13="","",VLOOKUP(AB13,'11. Lists'!$F$36:$H$38,3,FALSE))</f>
        <v/>
      </c>
      <c r="AE13" s="298" t="str">
        <f t="shared" si="2"/>
        <v/>
      </c>
      <c r="AF13" s="299" t="str">
        <f t="shared" si="3"/>
        <v/>
      </c>
      <c r="AG13" s="300" t="str">
        <f t="shared" si="4"/>
        <v/>
      </c>
      <c r="AH13" s="93" t="str">
        <f>IF(T13="","",VLOOKUP(T13,'11. Lists'!$B$47:$D$49,3,FALSE))</f>
        <v/>
      </c>
      <c r="AI13" s="344" t="str">
        <f>IF(D13="","",VLOOKUP(D13,'10. Condition and Temporal'!$B$6:$L$103,4,FALSE))</f>
        <v/>
      </c>
      <c r="AJ13" s="475" t="str">
        <v>1</v>
      </c>
      <c r="AK13" s="157" t="str">
        <v>1</v>
      </c>
      <c r="AL13" s="157"/>
      <c r="AM13" s="157"/>
      <c r="AN13" s="431"/>
      <c r="AR13" s="157" t="str">
        <f t="shared" si="5"/>
        <v/>
      </c>
    </row>
    <row r="14" spans="1:44" s="25" customFormat="1" ht="15.6" x14ac:dyDescent="0.3">
      <c r="B14" s="264">
        <v>4</v>
      </c>
      <c r="C14" s="556" t="s">
        <v>249</v>
      </c>
      <c r="D14" s="826"/>
      <c r="E14" s="826"/>
      <c r="F14" s="939"/>
      <c r="G14" s="939"/>
      <c r="H14" s="939"/>
      <c r="I14" s="471"/>
      <c r="J14" s="306"/>
      <c r="K14" s="307"/>
      <c r="L14" s="466" t="str">
        <f t="shared" si="0"/>
        <v/>
      </c>
      <c r="M14" s="301" t="str">
        <f t="shared" si="6"/>
        <v/>
      </c>
      <c r="N14" s="466" t="str">
        <f t="shared" si="1"/>
        <v/>
      </c>
      <c r="O14" s="68"/>
      <c r="P14" s="3"/>
      <c r="R14" s="741"/>
      <c r="T14" s="787" t="str">
        <f>IF(D14="","",VLOOKUP(D14,'9. All Habitats + Multipliers'!$C$4:$K$102,5,FALSE))</f>
        <v/>
      </c>
      <c r="U14" s="788"/>
      <c r="V14" s="96" t="str">
        <f>IF(T14="","",VLOOKUP(T14,'11. Lists'!$B$47:$D$49,2,FALSE))</f>
        <v/>
      </c>
      <c r="W14" s="93" t="str">
        <f>IF(D14="","",VLOOKUP(D14,'10. Condition and Temporal'!$B$6:$C$103,2,FALSE))</f>
        <v/>
      </c>
      <c r="X14" s="96" t="str">
        <f>IF(W14="","",VLOOKUP(W14,'11. Lists'!$F$47:$G$51,2,FALSE))</f>
        <v/>
      </c>
      <c r="Y14" s="372"/>
      <c r="Z14" s="343"/>
      <c r="AA14" s="370"/>
      <c r="AB14" s="95" t="str">
        <f t="shared" si="7"/>
        <v/>
      </c>
      <c r="AC14" s="95" t="str">
        <f>IF(AB14="","",VLOOKUP(AB14,'11. Lists'!$F$36:$H$38,2,FALSE))</f>
        <v/>
      </c>
      <c r="AD14" s="94" t="str">
        <f>IF(AB14="","",VLOOKUP(AB14,'11. Lists'!$F$36:$H$38,3,FALSE))</f>
        <v/>
      </c>
      <c r="AE14" s="298" t="str">
        <f t="shared" si="2"/>
        <v/>
      </c>
      <c r="AF14" s="299" t="str">
        <f t="shared" si="3"/>
        <v/>
      </c>
      <c r="AG14" s="300" t="str">
        <f t="shared" si="4"/>
        <v/>
      </c>
      <c r="AH14" s="93" t="str">
        <f>IF(T14="","",VLOOKUP(T14,'11. Lists'!$B$47:$D$49,3,FALSE))</f>
        <v/>
      </c>
      <c r="AI14" s="344" t="str">
        <f>IF(D14="","",VLOOKUP(D14,'10. Condition and Temporal'!$B$6:$L$103,4,FALSE))</f>
        <v/>
      </c>
      <c r="AJ14" s="475" t="str">
        <v>1</v>
      </c>
      <c r="AK14" s="157" t="str">
        <v>1</v>
      </c>
      <c r="AL14" s="157"/>
      <c r="AM14" s="157"/>
      <c r="AN14" s="431"/>
      <c r="AR14" s="157" t="str">
        <f t="shared" si="5"/>
        <v/>
      </c>
    </row>
    <row r="15" spans="1:44" s="25" customFormat="1" ht="15.6" x14ac:dyDescent="0.3">
      <c r="B15" s="264">
        <v>5</v>
      </c>
      <c r="C15" s="556" t="s">
        <v>249</v>
      </c>
      <c r="D15" s="826"/>
      <c r="E15" s="826"/>
      <c r="F15" s="939"/>
      <c r="G15" s="939"/>
      <c r="H15" s="939"/>
      <c r="I15" s="471"/>
      <c r="J15" s="306"/>
      <c r="K15" s="307"/>
      <c r="L15" s="466" t="str">
        <f t="shared" si="0"/>
        <v/>
      </c>
      <c r="M15" s="301" t="str">
        <f t="shared" si="6"/>
        <v/>
      </c>
      <c r="N15" s="466" t="str">
        <f t="shared" si="1"/>
        <v/>
      </c>
      <c r="O15" s="68"/>
      <c r="P15" s="3"/>
      <c r="R15" s="741"/>
      <c r="T15" s="787" t="str">
        <f>IF(D15="","",VLOOKUP(D15,'9. All Habitats + Multipliers'!$C$4:$K$102,5,FALSE))</f>
        <v/>
      </c>
      <c r="U15" s="788"/>
      <c r="V15" s="96" t="str">
        <f>IF(T15="","",VLOOKUP(T15,'11. Lists'!$B$47:$D$49,2,FALSE))</f>
        <v/>
      </c>
      <c r="W15" s="93" t="str">
        <f>IF(D15="","",VLOOKUP(D15,'10. Condition and Temporal'!$B$6:$C$103,2,FALSE))</f>
        <v/>
      </c>
      <c r="X15" s="96" t="str">
        <f>IF(W15="","",VLOOKUP(W15,'11. Lists'!$F$47:$G$51,2,FALSE))</f>
        <v/>
      </c>
      <c r="Y15" s="372"/>
      <c r="Z15" s="343"/>
      <c r="AA15" s="370"/>
      <c r="AB15" s="95" t="str">
        <f t="shared" si="7"/>
        <v/>
      </c>
      <c r="AC15" s="95" t="str">
        <f>IF(AB15="","",VLOOKUP(AB15,'11. Lists'!$F$36:$H$38,2,FALSE))</f>
        <v/>
      </c>
      <c r="AD15" s="94" t="str">
        <f>IF(AB15="","",VLOOKUP(AB15,'11. Lists'!$F$36:$H$38,3,FALSE))</f>
        <v/>
      </c>
      <c r="AE15" s="298" t="str">
        <f t="shared" si="2"/>
        <v/>
      </c>
      <c r="AF15" s="299" t="str">
        <f t="shared" si="3"/>
        <v/>
      </c>
      <c r="AG15" s="300" t="str">
        <f t="shared" si="4"/>
        <v/>
      </c>
      <c r="AH15" s="93" t="str">
        <f>IF(T15="","",VLOOKUP(T15,'11. Lists'!$B$47:$D$49,3,FALSE))</f>
        <v/>
      </c>
      <c r="AI15" s="344" t="str">
        <f>IF(D15="","",VLOOKUP(D15,'10. Condition and Temporal'!$B$6:$L$103,4,FALSE))</f>
        <v/>
      </c>
      <c r="AJ15" s="475" t="str">
        <v>1</v>
      </c>
      <c r="AK15" s="157" t="str">
        <v>1</v>
      </c>
      <c r="AL15" s="157"/>
      <c r="AM15" s="157"/>
      <c r="AN15" s="431"/>
      <c r="AR15" s="157" t="str">
        <f t="shared" si="5"/>
        <v/>
      </c>
    </row>
    <row r="16" spans="1:44" s="25" customFormat="1" ht="15.6" x14ac:dyDescent="0.3">
      <c r="B16" s="264">
        <v>6</v>
      </c>
      <c r="C16" s="556" t="s">
        <v>249</v>
      </c>
      <c r="D16" s="826"/>
      <c r="E16" s="826"/>
      <c r="F16" s="939"/>
      <c r="G16" s="939"/>
      <c r="H16" s="939"/>
      <c r="I16" s="471"/>
      <c r="J16" s="306"/>
      <c r="K16" s="307"/>
      <c r="L16" s="466" t="str">
        <f t="shared" si="0"/>
        <v/>
      </c>
      <c r="M16" s="301" t="str">
        <f t="shared" si="6"/>
        <v/>
      </c>
      <c r="N16" s="466" t="str">
        <f t="shared" si="1"/>
        <v/>
      </c>
      <c r="O16" s="68"/>
      <c r="P16" s="3"/>
      <c r="R16" s="741"/>
      <c r="T16" s="787" t="str">
        <f>IF(D16="","",VLOOKUP(D16,'9. All Habitats + Multipliers'!$C$4:$K$102,5,FALSE))</f>
        <v/>
      </c>
      <c r="U16" s="788"/>
      <c r="V16" s="96" t="str">
        <f>IF(T16="","",VLOOKUP(T16,'11. Lists'!$B$47:$D$49,2,FALSE))</f>
        <v/>
      </c>
      <c r="W16" s="93" t="str">
        <f>IF(D16="","",VLOOKUP(D16,'10. Condition and Temporal'!$B$6:$C$103,2,FALSE))</f>
        <v/>
      </c>
      <c r="X16" s="96" t="str">
        <f>IF(W16="","",VLOOKUP(W16,'11. Lists'!$F$47:$G$51,2,FALSE))</f>
        <v/>
      </c>
      <c r="Y16" s="372"/>
      <c r="Z16" s="343"/>
      <c r="AA16" s="370"/>
      <c r="AB16" s="95" t="str">
        <f t="shared" si="7"/>
        <v/>
      </c>
      <c r="AC16" s="95" t="str">
        <f>IF(AB16="","",VLOOKUP(AB16,'11. Lists'!$F$36:$H$38,2,FALSE))</f>
        <v/>
      </c>
      <c r="AD16" s="94" t="str">
        <f>IF(AB16="","",VLOOKUP(AB16,'11. Lists'!$F$36:$H$38,3,FALSE))</f>
        <v/>
      </c>
      <c r="AE16" s="298" t="str">
        <f t="shared" si="2"/>
        <v/>
      </c>
      <c r="AF16" s="299" t="str">
        <f t="shared" si="3"/>
        <v/>
      </c>
      <c r="AG16" s="300" t="str">
        <f t="shared" si="4"/>
        <v/>
      </c>
      <c r="AH16" s="93" t="str">
        <f>IF(T16="","",VLOOKUP(T16,'11. Lists'!$B$47:$D$49,3,FALSE))</f>
        <v/>
      </c>
      <c r="AI16" s="344" t="str">
        <f>IF(D16="","",VLOOKUP(D16,'10. Condition and Temporal'!$B$6:$L$103,4,FALSE))</f>
        <v/>
      </c>
      <c r="AJ16" s="475" t="str">
        <v>1</v>
      </c>
      <c r="AK16" s="157" t="str">
        <v>1</v>
      </c>
      <c r="AL16" s="157"/>
      <c r="AM16" s="157"/>
      <c r="AN16" s="431"/>
      <c r="AR16" s="157" t="str">
        <f t="shared" si="5"/>
        <v/>
      </c>
    </row>
    <row r="17" spans="2:44" s="25" customFormat="1" ht="15.6" x14ac:dyDescent="0.3">
      <c r="B17" s="264">
        <v>7</v>
      </c>
      <c r="C17" s="556" t="s">
        <v>249</v>
      </c>
      <c r="D17" s="826"/>
      <c r="E17" s="826"/>
      <c r="F17" s="939"/>
      <c r="G17" s="939"/>
      <c r="H17" s="939"/>
      <c r="I17" s="471"/>
      <c r="J17" s="306"/>
      <c r="K17" s="307"/>
      <c r="L17" s="466" t="str">
        <f t="shared" si="0"/>
        <v/>
      </c>
      <c r="M17" s="301" t="str">
        <f t="shared" si="6"/>
        <v/>
      </c>
      <c r="N17" s="466" t="str">
        <f t="shared" si="1"/>
        <v/>
      </c>
      <c r="O17" s="68"/>
      <c r="P17" s="3"/>
      <c r="R17" s="741"/>
      <c r="T17" s="787" t="str">
        <f>IF(D17="","",VLOOKUP(D17,'9. All Habitats + Multipliers'!$C$4:$K$102,5,FALSE))</f>
        <v/>
      </c>
      <c r="U17" s="788"/>
      <c r="V17" s="96" t="str">
        <f>IF(T17="","",VLOOKUP(T17,'11. Lists'!$B$47:$D$49,2,FALSE))</f>
        <v/>
      </c>
      <c r="W17" s="93" t="str">
        <f>IF(D17="","",VLOOKUP(D17,'10. Condition and Temporal'!$B$6:$C$103,2,FALSE))</f>
        <v/>
      </c>
      <c r="X17" s="96" t="str">
        <f>IF(W17="","",VLOOKUP(W17,'11. Lists'!$F$47:$G$51,2,FALSE))</f>
        <v/>
      </c>
      <c r="Y17" s="372"/>
      <c r="Z17" s="343"/>
      <c r="AA17" s="370"/>
      <c r="AB17" s="95" t="str">
        <f t="shared" si="7"/>
        <v/>
      </c>
      <c r="AC17" s="95" t="str">
        <f>IF(AB17="","",VLOOKUP(AB17,'11. Lists'!$F$36:$H$38,2,FALSE))</f>
        <v/>
      </c>
      <c r="AD17" s="94" t="str">
        <f>IF(AB17="","",VLOOKUP(AB17,'11. Lists'!$F$36:$H$38,3,FALSE))</f>
        <v/>
      </c>
      <c r="AE17" s="298" t="str">
        <f t="shared" si="2"/>
        <v/>
      </c>
      <c r="AF17" s="299" t="str">
        <f t="shared" si="3"/>
        <v/>
      </c>
      <c r="AG17" s="300" t="str">
        <f t="shared" si="4"/>
        <v/>
      </c>
      <c r="AH17" s="93" t="str">
        <f>IF(T17="","",VLOOKUP(T17,'11. Lists'!$B$47:$D$49,3,FALSE))</f>
        <v/>
      </c>
      <c r="AI17" s="344" t="str">
        <f>IF(D17="","",VLOOKUP(D17,'10. Condition and Temporal'!$B$6:$L$103,4,FALSE))</f>
        <v/>
      </c>
      <c r="AJ17" s="475" t="str">
        <v>1</v>
      </c>
      <c r="AK17" s="157" t="str">
        <v>1</v>
      </c>
      <c r="AL17" s="157"/>
      <c r="AM17" s="157"/>
      <c r="AN17" s="431"/>
      <c r="AR17" s="157" t="str">
        <f t="shared" si="5"/>
        <v/>
      </c>
    </row>
    <row r="18" spans="2:44" s="25" customFormat="1" ht="15.6" x14ac:dyDescent="0.3">
      <c r="B18" s="264">
        <v>8</v>
      </c>
      <c r="C18" s="556" t="s">
        <v>249</v>
      </c>
      <c r="D18" s="826"/>
      <c r="E18" s="826"/>
      <c r="F18" s="939"/>
      <c r="G18" s="939"/>
      <c r="H18" s="939"/>
      <c r="I18" s="471"/>
      <c r="J18" s="306"/>
      <c r="K18" s="307"/>
      <c r="L18" s="466" t="str">
        <f t="shared" si="0"/>
        <v/>
      </c>
      <c r="M18" s="301" t="str">
        <f t="shared" si="6"/>
        <v/>
      </c>
      <c r="N18" s="466" t="str">
        <f t="shared" si="1"/>
        <v/>
      </c>
      <c r="O18" s="68"/>
      <c r="P18" s="3"/>
      <c r="R18" s="741"/>
      <c r="T18" s="787" t="str">
        <f>IF(D18="","",VLOOKUP(D18,'9. All Habitats + Multipliers'!$C$4:$K$102,5,FALSE))</f>
        <v/>
      </c>
      <c r="U18" s="788"/>
      <c r="V18" s="96" t="str">
        <f>IF(T18="","",VLOOKUP(T18,'11. Lists'!$B$47:$D$49,2,FALSE))</f>
        <v/>
      </c>
      <c r="W18" s="93" t="str">
        <f>IF(D18="","",VLOOKUP(D18,'10. Condition and Temporal'!$B$6:$C$103,2,FALSE))</f>
        <v/>
      </c>
      <c r="X18" s="96" t="str">
        <f>IF(W18="","",VLOOKUP(W18,'11. Lists'!$F$47:$G$51,2,FALSE))</f>
        <v/>
      </c>
      <c r="Y18" s="372"/>
      <c r="Z18" s="343"/>
      <c r="AA18" s="370"/>
      <c r="AB18" s="95" t="str">
        <f t="shared" si="7"/>
        <v/>
      </c>
      <c r="AC18" s="95" t="str">
        <f>IF(AB18="","",VLOOKUP(AB18,'11. Lists'!$F$36:$H$38,2,FALSE))</f>
        <v/>
      </c>
      <c r="AD18" s="94" t="str">
        <f>IF(AB18="","",VLOOKUP(AB18,'11. Lists'!$F$36:$H$38,3,FALSE))</f>
        <v/>
      </c>
      <c r="AE18" s="298" t="str">
        <f t="shared" si="2"/>
        <v/>
      </c>
      <c r="AF18" s="299" t="str">
        <f t="shared" si="3"/>
        <v/>
      </c>
      <c r="AG18" s="300" t="str">
        <f t="shared" si="4"/>
        <v/>
      </c>
      <c r="AH18" s="93" t="str">
        <f>IF(T18="","",VLOOKUP(T18,'11. Lists'!$B$47:$D$49,3,FALSE))</f>
        <v/>
      </c>
      <c r="AI18" s="344" t="str">
        <f>IF(D18="","",VLOOKUP(D18,'10. Condition and Temporal'!$B$6:$L$103,4,FALSE))</f>
        <v/>
      </c>
      <c r="AJ18" s="475" t="str">
        <v>1</v>
      </c>
      <c r="AK18" s="157" t="str">
        <v>1</v>
      </c>
      <c r="AL18" s="157"/>
      <c r="AM18" s="157"/>
      <c r="AN18" s="431"/>
      <c r="AR18" s="157" t="str">
        <f t="shared" si="5"/>
        <v/>
      </c>
    </row>
    <row r="19" spans="2:44" s="25" customFormat="1" ht="15.6" x14ac:dyDescent="0.3">
      <c r="B19" s="264">
        <v>9</v>
      </c>
      <c r="C19" s="556" t="s">
        <v>249</v>
      </c>
      <c r="D19" s="826"/>
      <c r="E19" s="826"/>
      <c r="F19" s="939"/>
      <c r="G19" s="939"/>
      <c r="H19" s="939"/>
      <c r="I19" s="471"/>
      <c r="J19" s="306"/>
      <c r="K19" s="307"/>
      <c r="L19" s="466" t="str">
        <f t="shared" si="0"/>
        <v/>
      </c>
      <c r="M19" s="301" t="str">
        <f t="shared" si="6"/>
        <v/>
      </c>
      <c r="N19" s="466" t="str">
        <f t="shared" si="1"/>
        <v/>
      </c>
      <c r="O19" s="68"/>
      <c r="P19" s="3"/>
      <c r="R19" s="741"/>
      <c r="T19" s="787" t="str">
        <f>IF(D19="","",VLOOKUP(D19,'9. All Habitats + Multipliers'!$C$4:$K$102,5,FALSE))</f>
        <v/>
      </c>
      <c r="U19" s="788"/>
      <c r="V19" s="96" t="str">
        <f>IF(T19="","",VLOOKUP(T19,'11. Lists'!$B$47:$D$49,2,FALSE))</f>
        <v/>
      </c>
      <c r="W19" s="93" t="str">
        <f>IF(D19="","",VLOOKUP(D19,'10. Condition and Temporal'!$B$6:$C$103,2,FALSE))</f>
        <v/>
      </c>
      <c r="X19" s="96" t="str">
        <f>IF(W19="","",VLOOKUP(W19,'11. Lists'!$F$47:$G$51,2,FALSE))</f>
        <v/>
      </c>
      <c r="Y19" s="372"/>
      <c r="Z19" s="343"/>
      <c r="AA19" s="370"/>
      <c r="AB19" s="95" t="str">
        <f t="shared" si="7"/>
        <v/>
      </c>
      <c r="AC19" s="95" t="str">
        <f>IF(AB19="","",VLOOKUP(AB19,'11. Lists'!$F$36:$H$38,2,FALSE))</f>
        <v/>
      </c>
      <c r="AD19" s="94" t="str">
        <f>IF(AB19="","",VLOOKUP(AB19,'11. Lists'!$F$36:$H$38,3,FALSE))</f>
        <v/>
      </c>
      <c r="AE19" s="298" t="str">
        <f t="shared" si="2"/>
        <v/>
      </c>
      <c r="AF19" s="299" t="str">
        <f t="shared" si="3"/>
        <v/>
      </c>
      <c r="AG19" s="300" t="str">
        <f t="shared" si="4"/>
        <v/>
      </c>
      <c r="AH19" s="93" t="str">
        <f>IF(T19="","",VLOOKUP(T19,'11. Lists'!$B$47:$D$49,3,FALSE))</f>
        <v/>
      </c>
      <c r="AI19" s="344" t="str">
        <f>IF(D19="","",VLOOKUP(D19,'10. Condition and Temporal'!$B$6:$L$103,4,FALSE))</f>
        <v/>
      </c>
      <c r="AJ19" s="475" t="str">
        <v>1</v>
      </c>
      <c r="AK19" s="157" t="str">
        <v>1</v>
      </c>
      <c r="AL19" s="157"/>
      <c r="AM19" s="157"/>
      <c r="AN19" s="431"/>
      <c r="AR19" s="157" t="str">
        <f t="shared" si="5"/>
        <v/>
      </c>
    </row>
    <row r="20" spans="2:44" s="25" customFormat="1" ht="15.6" x14ac:dyDescent="0.3">
      <c r="B20" s="264">
        <v>10</v>
      </c>
      <c r="C20" s="556" t="s">
        <v>249</v>
      </c>
      <c r="D20" s="826"/>
      <c r="E20" s="826"/>
      <c r="F20" s="939"/>
      <c r="G20" s="939"/>
      <c r="H20" s="939"/>
      <c r="I20" s="471"/>
      <c r="J20" s="306"/>
      <c r="K20" s="307"/>
      <c r="L20" s="466" t="str">
        <f t="shared" si="0"/>
        <v/>
      </c>
      <c r="M20" s="301" t="str">
        <f t="shared" si="6"/>
        <v/>
      </c>
      <c r="N20" s="466" t="str">
        <f t="shared" si="1"/>
        <v/>
      </c>
      <c r="O20" s="68"/>
      <c r="P20" s="8"/>
      <c r="R20" s="741"/>
      <c r="T20" s="787" t="str">
        <f>IF(D20="","",VLOOKUP(D20,'9. All Habitats + Multipliers'!$C$4:$K$102,5,FALSE))</f>
        <v/>
      </c>
      <c r="U20" s="788"/>
      <c r="V20" s="96" t="str">
        <f>IF(T20="","",VLOOKUP(T20,'11. Lists'!$B$47:$D$49,2,FALSE))</f>
        <v/>
      </c>
      <c r="W20" s="93" t="str">
        <f>IF(D20="","",VLOOKUP(D20,'10. Condition and Temporal'!$B$6:$C$103,2,FALSE))</f>
        <v/>
      </c>
      <c r="X20" s="96" t="str">
        <f>IF(W20="","",VLOOKUP(W20,'11. Lists'!$F$47:$G$51,2,FALSE))</f>
        <v/>
      </c>
      <c r="Y20" s="372"/>
      <c r="Z20" s="343"/>
      <c r="AA20" s="370"/>
      <c r="AB20" s="95" t="str">
        <f t="shared" si="7"/>
        <v/>
      </c>
      <c r="AC20" s="95" t="str">
        <f>IF(AB20="","",VLOOKUP(AB20,'11. Lists'!$F$36:$H$38,2,FALSE))</f>
        <v/>
      </c>
      <c r="AD20" s="94" t="str">
        <f>IF(AB20="","",VLOOKUP(AB20,'11. Lists'!$F$36:$H$38,3,FALSE))</f>
        <v/>
      </c>
      <c r="AE20" s="298" t="str">
        <f t="shared" si="2"/>
        <v/>
      </c>
      <c r="AF20" s="299" t="str">
        <f t="shared" si="3"/>
        <v/>
      </c>
      <c r="AG20" s="300" t="str">
        <f t="shared" si="4"/>
        <v/>
      </c>
      <c r="AH20" s="93" t="str">
        <f>IF(T20="","",VLOOKUP(T20,'11. Lists'!$B$47:$D$49,3,FALSE))</f>
        <v/>
      </c>
      <c r="AI20" s="344" t="str">
        <f>IF(D20="","",VLOOKUP(D20,'10. Condition and Temporal'!$B$6:$L$103,4,FALSE))</f>
        <v/>
      </c>
      <c r="AJ20" s="475" t="str">
        <v>1</v>
      </c>
      <c r="AK20" s="157" t="str">
        <v>1</v>
      </c>
      <c r="AL20" s="157"/>
      <c r="AM20" s="157"/>
      <c r="AN20" s="431"/>
      <c r="AR20" s="157" t="str">
        <f t="shared" si="5"/>
        <v/>
      </c>
    </row>
    <row r="21" spans="2:44" s="25" customFormat="1" ht="15.6" x14ac:dyDescent="0.3">
      <c r="B21" s="264">
        <v>11</v>
      </c>
      <c r="C21" s="556" t="s">
        <v>249</v>
      </c>
      <c r="D21" s="826"/>
      <c r="E21" s="826"/>
      <c r="F21" s="939"/>
      <c r="G21" s="939"/>
      <c r="H21" s="939"/>
      <c r="I21" s="471"/>
      <c r="J21" s="306"/>
      <c r="K21" s="307"/>
      <c r="L21" s="466" t="str">
        <f t="shared" si="0"/>
        <v/>
      </c>
      <c r="M21" s="301" t="str">
        <f t="shared" si="6"/>
        <v/>
      </c>
      <c r="N21" s="466" t="str">
        <f t="shared" si="1"/>
        <v/>
      </c>
      <c r="O21" s="68"/>
      <c r="P21" s="8"/>
      <c r="R21" s="741"/>
      <c r="T21" s="787" t="str">
        <f>IF(D21="","",VLOOKUP(D21,'9. All Habitats + Multipliers'!$C$4:$K$102,5,FALSE))</f>
        <v/>
      </c>
      <c r="U21" s="788"/>
      <c r="V21" s="96" t="str">
        <f>IF(T21="","",VLOOKUP(T21,'11. Lists'!$B$47:$D$49,2,FALSE))</f>
        <v/>
      </c>
      <c r="W21" s="93" t="str">
        <f>IF(D21="","",VLOOKUP(D21,'10. Condition and Temporal'!$B$6:$C$103,2,FALSE))</f>
        <v/>
      </c>
      <c r="X21" s="96" t="str">
        <f>IF(W21="","",VLOOKUP(W21,'11. Lists'!$F$47:$G$51,2,FALSE))</f>
        <v/>
      </c>
      <c r="Y21" s="372"/>
      <c r="Z21" s="343"/>
      <c r="AA21" s="370"/>
      <c r="AB21" s="95" t="str">
        <f t="shared" si="7"/>
        <v/>
      </c>
      <c r="AC21" s="95" t="str">
        <f>IF(AB21="","",VLOOKUP(AB21,'11. Lists'!$F$36:$H$38,2,FALSE))</f>
        <v/>
      </c>
      <c r="AD21" s="94" t="str">
        <f>IF(AB21="","",VLOOKUP(AB21,'11. Lists'!$F$36:$H$38,3,FALSE))</f>
        <v/>
      </c>
      <c r="AE21" s="298" t="str">
        <f t="shared" si="2"/>
        <v/>
      </c>
      <c r="AF21" s="299" t="str">
        <f t="shared" si="3"/>
        <v/>
      </c>
      <c r="AG21" s="300" t="str">
        <f t="shared" si="4"/>
        <v/>
      </c>
      <c r="AH21" s="93" t="str">
        <f>IF(T21="","",VLOOKUP(T21,'11. Lists'!$B$47:$D$49,3,FALSE))</f>
        <v/>
      </c>
      <c r="AI21" s="344" t="str">
        <f>IF(D21="","",VLOOKUP(D21,'10. Condition and Temporal'!$B$6:$L$103,4,FALSE))</f>
        <v/>
      </c>
      <c r="AJ21" s="475" t="str">
        <v>1</v>
      </c>
      <c r="AK21" s="157" t="str">
        <v>1</v>
      </c>
      <c r="AL21" s="157"/>
      <c r="AM21" s="157"/>
      <c r="AN21" s="431"/>
      <c r="AR21" s="157" t="str">
        <f t="shared" si="5"/>
        <v/>
      </c>
    </row>
    <row r="22" spans="2:44" s="25" customFormat="1" ht="15.6" x14ac:dyDescent="0.3">
      <c r="B22" s="264">
        <v>12</v>
      </c>
      <c r="C22" s="556" t="s">
        <v>249</v>
      </c>
      <c r="D22" s="826"/>
      <c r="E22" s="826"/>
      <c r="F22" s="939"/>
      <c r="G22" s="939"/>
      <c r="H22" s="939"/>
      <c r="I22" s="471"/>
      <c r="J22" s="306"/>
      <c r="K22" s="307"/>
      <c r="L22" s="466" t="str">
        <f t="shared" si="0"/>
        <v/>
      </c>
      <c r="M22" s="301" t="str">
        <f t="shared" si="6"/>
        <v/>
      </c>
      <c r="N22" s="466" t="str">
        <f t="shared" si="1"/>
        <v/>
      </c>
      <c r="O22" s="68"/>
      <c r="P22" s="8"/>
      <c r="R22" s="741"/>
      <c r="T22" s="787" t="str">
        <f>IF(D22="","",VLOOKUP(D22,'9. All Habitats + Multipliers'!$C$4:$K$102,5,FALSE))</f>
        <v/>
      </c>
      <c r="U22" s="788"/>
      <c r="V22" s="96" t="str">
        <f>IF(T22="","",VLOOKUP(T22,'11. Lists'!$B$47:$D$49,2,FALSE))</f>
        <v/>
      </c>
      <c r="W22" s="93" t="str">
        <f>IF(D22="","",VLOOKUP(D22,'10. Condition and Temporal'!$B$6:$C$103,2,FALSE))</f>
        <v/>
      </c>
      <c r="X22" s="96" t="str">
        <f>IF(W22="","",VLOOKUP(W22,'11. Lists'!$F$47:$G$51,2,FALSE))</f>
        <v/>
      </c>
      <c r="Y22" s="372"/>
      <c r="Z22" s="343"/>
      <c r="AA22" s="370"/>
      <c r="AB22" s="95" t="str">
        <f t="shared" si="7"/>
        <v/>
      </c>
      <c r="AC22" s="95" t="str">
        <f>IF(AB22="","",VLOOKUP(AB22,'11. Lists'!$F$36:$H$38,2,FALSE))</f>
        <v/>
      </c>
      <c r="AD22" s="94" t="str">
        <f>IF(AB22="","",VLOOKUP(AB22,'11. Lists'!$F$36:$H$38,3,FALSE))</f>
        <v/>
      </c>
      <c r="AE22" s="298" t="str">
        <f t="shared" si="2"/>
        <v/>
      </c>
      <c r="AF22" s="299" t="str">
        <f t="shared" si="3"/>
        <v/>
      </c>
      <c r="AG22" s="300" t="str">
        <f t="shared" si="4"/>
        <v/>
      </c>
      <c r="AH22" s="93" t="str">
        <f>IF(T22="","",VLOOKUP(T22,'11. Lists'!$B$47:$D$49,3,FALSE))</f>
        <v/>
      </c>
      <c r="AI22" s="344" t="str">
        <f>IF(D22="","",VLOOKUP(D22,'10. Condition and Temporal'!$B$6:$L$103,4,FALSE))</f>
        <v/>
      </c>
      <c r="AJ22" s="475" t="str">
        <v>1</v>
      </c>
      <c r="AK22" s="157" t="str">
        <v>1</v>
      </c>
      <c r="AL22" s="157"/>
      <c r="AM22" s="157"/>
      <c r="AN22" s="431"/>
      <c r="AR22" s="157" t="str">
        <f t="shared" si="5"/>
        <v/>
      </c>
    </row>
    <row r="23" spans="2:44" s="25" customFormat="1" ht="15.6" x14ac:dyDescent="0.3">
      <c r="B23" s="264">
        <v>13</v>
      </c>
      <c r="C23" s="556" t="s">
        <v>249</v>
      </c>
      <c r="D23" s="826"/>
      <c r="E23" s="826"/>
      <c r="F23" s="939"/>
      <c r="G23" s="939"/>
      <c r="H23" s="939"/>
      <c r="I23" s="471"/>
      <c r="J23" s="306"/>
      <c r="K23" s="307"/>
      <c r="L23" s="466" t="str">
        <f t="shared" si="0"/>
        <v/>
      </c>
      <c r="M23" s="301" t="str">
        <f t="shared" si="6"/>
        <v/>
      </c>
      <c r="N23" s="466" t="str">
        <f t="shared" si="1"/>
        <v/>
      </c>
      <c r="O23" s="68"/>
      <c r="P23" s="8"/>
      <c r="R23" s="741"/>
      <c r="T23" s="787" t="str">
        <f>IF(D23="","",VLOOKUP(D23,'9. All Habitats + Multipliers'!$C$4:$K$102,5,FALSE))</f>
        <v/>
      </c>
      <c r="U23" s="788"/>
      <c r="V23" s="96" t="str">
        <f>IF(T23="","",VLOOKUP(T23,'11. Lists'!$B$47:$D$49,2,FALSE))</f>
        <v/>
      </c>
      <c r="W23" s="93" t="str">
        <f>IF(D23="","",VLOOKUP(D23,'10. Condition and Temporal'!$B$6:$C$103,2,FALSE))</f>
        <v/>
      </c>
      <c r="X23" s="96" t="str">
        <f>IF(W23="","",VLOOKUP(W23,'11. Lists'!$F$47:$G$51,2,FALSE))</f>
        <v/>
      </c>
      <c r="Y23" s="372"/>
      <c r="Z23" s="343"/>
      <c r="AA23" s="370"/>
      <c r="AB23" s="95" t="str">
        <f t="shared" si="7"/>
        <v/>
      </c>
      <c r="AC23" s="95" t="str">
        <f>IF(AB23="","",VLOOKUP(AB23,'11. Lists'!$F$36:$H$38,2,FALSE))</f>
        <v/>
      </c>
      <c r="AD23" s="94" t="str">
        <f>IF(AB23="","",VLOOKUP(AB23,'11. Lists'!$F$36:$H$38,3,FALSE))</f>
        <v/>
      </c>
      <c r="AE23" s="298" t="str">
        <f t="shared" si="2"/>
        <v/>
      </c>
      <c r="AF23" s="299" t="str">
        <f t="shared" si="3"/>
        <v/>
      </c>
      <c r="AG23" s="300" t="str">
        <f t="shared" si="4"/>
        <v/>
      </c>
      <c r="AH23" s="93" t="str">
        <f>IF(T23="","",VLOOKUP(T23,'11. Lists'!$B$47:$D$49,3,FALSE))</f>
        <v/>
      </c>
      <c r="AI23" s="344" t="str">
        <f>IF(D23="","",VLOOKUP(D23,'10. Condition and Temporal'!$B$6:$L$103,4,FALSE))</f>
        <v/>
      </c>
      <c r="AJ23" s="475" t="str">
        <v>1</v>
      </c>
      <c r="AK23" s="157" t="str">
        <v>1</v>
      </c>
      <c r="AL23" s="157"/>
      <c r="AM23" s="157"/>
      <c r="AN23" s="431"/>
      <c r="AR23" s="157" t="str">
        <f t="shared" si="5"/>
        <v/>
      </c>
    </row>
    <row r="24" spans="2:44" s="25" customFormat="1" ht="15.6" x14ac:dyDescent="0.3">
      <c r="B24" s="264">
        <v>14</v>
      </c>
      <c r="C24" s="556" t="s">
        <v>249</v>
      </c>
      <c r="D24" s="826"/>
      <c r="E24" s="826"/>
      <c r="F24" s="939"/>
      <c r="G24" s="939"/>
      <c r="H24" s="939"/>
      <c r="I24" s="471"/>
      <c r="J24" s="306"/>
      <c r="K24" s="307"/>
      <c r="L24" s="466" t="str">
        <f t="shared" si="0"/>
        <v/>
      </c>
      <c r="M24" s="301" t="str">
        <f t="shared" si="6"/>
        <v/>
      </c>
      <c r="N24" s="466" t="str">
        <f t="shared" si="1"/>
        <v/>
      </c>
      <c r="O24" s="68"/>
      <c r="P24" s="8"/>
      <c r="R24" s="741"/>
      <c r="T24" s="787" t="str">
        <f>IF(D24="","",VLOOKUP(D24,'9. All Habitats + Multipliers'!$C$4:$K$102,5,FALSE))</f>
        <v/>
      </c>
      <c r="U24" s="788"/>
      <c r="V24" s="96" t="str">
        <f>IF(T24="","",VLOOKUP(T24,'11. Lists'!$B$47:$D$49,2,FALSE))</f>
        <v/>
      </c>
      <c r="W24" s="93" t="str">
        <f>IF(D24="","",VLOOKUP(D24,'10. Condition and Temporal'!$B$6:$C$103,2,FALSE))</f>
        <v/>
      </c>
      <c r="X24" s="96" t="str">
        <f>IF(W24="","",VLOOKUP(W24,'11. Lists'!$F$47:$G$51,2,FALSE))</f>
        <v/>
      </c>
      <c r="Y24" s="372"/>
      <c r="Z24" s="343"/>
      <c r="AA24" s="370"/>
      <c r="AB24" s="95" t="str">
        <f t="shared" si="7"/>
        <v/>
      </c>
      <c r="AC24" s="95" t="str">
        <f>IF(AB24="","",VLOOKUP(AB24,'11. Lists'!$F$36:$H$38,2,FALSE))</f>
        <v/>
      </c>
      <c r="AD24" s="94" t="str">
        <f>IF(AB24="","",VLOOKUP(AB24,'11. Lists'!$F$36:$H$38,3,FALSE))</f>
        <v/>
      </c>
      <c r="AE24" s="298" t="str">
        <f t="shared" si="2"/>
        <v/>
      </c>
      <c r="AF24" s="299" t="str">
        <f t="shared" si="3"/>
        <v/>
      </c>
      <c r="AG24" s="300" t="str">
        <f t="shared" si="4"/>
        <v/>
      </c>
      <c r="AH24" s="93" t="str">
        <f>IF(T24="","",VLOOKUP(T24,'11. Lists'!$B$47:$D$49,3,FALSE))</f>
        <v/>
      </c>
      <c r="AI24" s="344" t="str">
        <f>IF(D24="","",VLOOKUP(D24,'10. Condition and Temporal'!$B$6:$L$103,4,FALSE))</f>
        <v/>
      </c>
      <c r="AJ24" s="475" t="str">
        <v>1</v>
      </c>
      <c r="AK24" s="157" t="str">
        <v>1</v>
      </c>
      <c r="AL24" s="157"/>
      <c r="AM24" s="157"/>
      <c r="AN24" s="431"/>
      <c r="AR24" s="157" t="str">
        <f t="shared" si="5"/>
        <v/>
      </c>
    </row>
    <row r="25" spans="2:44" s="25" customFormat="1" ht="15.6" x14ac:dyDescent="0.3">
      <c r="B25" s="264">
        <v>15</v>
      </c>
      <c r="C25" s="556" t="s">
        <v>249</v>
      </c>
      <c r="D25" s="826"/>
      <c r="E25" s="826"/>
      <c r="F25" s="939"/>
      <c r="G25" s="939"/>
      <c r="H25" s="939"/>
      <c r="I25" s="471"/>
      <c r="J25" s="306"/>
      <c r="K25" s="307"/>
      <c r="L25" s="466" t="str">
        <f t="shared" si="0"/>
        <v/>
      </c>
      <c r="M25" s="301" t="str">
        <f t="shared" si="6"/>
        <v/>
      </c>
      <c r="N25" s="466" t="str">
        <f t="shared" si="1"/>
        <v/>
      </c>
      <c r="O25" s="68"/>
      <c r="P25" s="8"/>
      <c r="R25" s="741"/>
      <c r="T25" s="787" t="str">
        <f>IF(D25="","",VLOOKUP(D25,'9. All Habitats + Multipliers'!$C$4:$K$102,5,FALSE))</f>
        <v/>
      </c>
      <c r="U25" s="788"/>
      <c r="V25" s="96" t="str">
        <f>IF(T25="","",VLOOKUP(T25,'11. Lists'!$B$47:$D$49,2,FALSE))</f>
        <v/>
      </c>
      <c r="W25" s="93" t="str">
        <f>IF(D25="","",VLOOKUP(D25,'10. Condition and Temporal'!$B$6:$C$103,2,FALSE))</f>
        <v/>
      </c>
      <c r="X25" s="96" t="str">
        <f>IF(W25="","",VLOOKUP(W25,'11. Lists'!$F$47:$G$51,2,FALSE))</f>
        <v/>
      </c>
      <c r="Y25" s="372"/>
      <c r="Z25" s="343"/>
      <c r="AA25" s="370"/>
      <c r="AB25" s="95" t="str">
        <f t="shared" si="7"/>
        <v/>
      </c>
      <c r="AC25" s="95" t="str">
        <f>IF(AB25="","",VLOOKUP(AB25,'11. Lists'!$F$36:$H$38,2,FALSE))</f>
        <v/>
      </c>
      <c r="AD25" s="94" t="str">
        <f>IF(AB25="","",VLOOKUP(AB25,'11. Lists'!$F$36:$H$38,3,FALSE))</f>
        <v/>
      </c>
      <c r="AE25" s="298" t="str">
        <f t="shared" si="2"/>
        <v/>
      </c>
      <c r="AF25" s="299" t="str">
        <f t="shared" si="3"/>
        <v/>
      </c>
      <c r="AG25" s="300" t="str">
        <f t="shared" si="4"/>
        <v/>
      </c>
      <c r="AH25" s="93" t="str">
        <f>IF(T25="","",VLOOKUP(T25,'11. Lists'!$B$47:$D$49,3,FALSE))</f>
        <v/>
      </c>
      <c r="AI25" s="344" t="str">
        <f>IF(D25="","",VLOOKUP(D25,'10. Condition and Temporal'!$B$6:$L$103,4,FALSE))</f>
        <v/>
      </c>
      <c r="AJ25" s="475" t="str">
        <v>1</v>
      </c>
      <c r="AK25" s="157" t="str">
        <v>1</v>
      </c>
      <c r="AL25" s="157"/>
      <c r="AM25" s="157"/>
      <c r="AN25" s="431"/>
      <c r="AR25" s="157" t="str">
        <f t="shared" si="5"/>
        <v/>
      </c>
    </row>
    <row r="26" spans="2:44" s="25" customFormat="1" ht="15.6" x14ac:dyDescent="0.3">
      <c r="B26" s="264">
        <v>16</v>
      </c>
      <c r="C26" s="556" t="s">
        <v>249</v>
      </c>
      <c r="D26" s="826"/>
      <c r="E26" s="826"/>
      <c r="F26" s="939"/>
      <c r="G26" s="939"/>
      <c r="H26" s="939"/>
      <c r="I26" s="471"/>
      <c r="J26" s="306"/>
      <c r="K26" s="307"/>
      <c r="L26" s="466" t="str">
        <f t="shared" si="0"/>
        <v/>
      </c>
      <c r="M26" s="301" t="str">
        <f t="shared" si="6"/>
        <v/>
      </c>
      <c r="N26" s="466" t="str">
        <f t="shared" si="1"/>
        <v/>
      </c>
      <c r="O26" s="68"/>
      <c r="P26" s="8"/>
      <c r="R26" s="741"/>
      <c r="T26" s="787" t="str">
        <f>IF(D26="","",VLOOKUP(D26,'9. All Habitats + Multipliers'!$C$4:$K$102,5,FALSE))</f>
        <v/>
      </c>
      <c r="U26" s="788"/>
      <c r="V26" s="96" t="str">
        <f>IF(T26="","",VLOOKUP(T26,'11. Lists'!$B$47:$D$49,2,FALSE))</f>
        <v/>
      </c>
      <c r="W26" s="93" t="str">
        <f>IF(D26="","",VLOOKUP(D26,'10. Condition and Temporal'!$B$6:$C$103,2,FALSE))</f>
        <v/>
      </c>
      <c r="X26" s="96" t="str">
        <f>IF(W26="","",VLOOKUP(W26,'11. Lists'!$F$47:$G$51,2,FALSE))</f>
        <v/>
      </c>
      <c r="Y26" s="372"/>
      <c r="Z26" s="343"/>
      <c r="AA26" s="370"/>
      <c r="AB26" s="95" t="str">
        <f t="shared" si="7"/>
        <v/>
      </c>
      <c r="AC26" s="95" t="str">
        <f>IF(AB26="","",VLOOKUP(AB26,'11. Lists'!$F$36:$H$38,2,FALSE))</f>
        <v/>
      </c>
      <c r="AD26" s="94" t="str">
        <f>IF(AB26="","",VLOOKUP(AB26,'11. Lists'!$F$36:$H$38,3,FALSE))</f>
        <v/>
      </c>
      <c r="AE26" s="298" t="str">
        <f t="shared" si="2"/>
        <v/>
      </c>
      <c r="AF26" s="299" t="str">
        <f t="shared" si="3"/>
        <v/>
      </c>
      <c r="AG26" s="300" t="str">
        <f t="shared" si="4"/>
        <v/>
      </c>
      <c r="AH26" s="93" t="str">
        <f>IF(T26="","",VLOOKUP(T26,'11. Lists'!$B$47:$D$49,3,FALSE))</f>
        <v/>
      </c>
      <c r="AI26" s="344" t="str">
        <f>IF(D26="","",VLOOKUP(D26,'10. Condition and Temporal'!$B$6:$L$103,4,FALSE))</f>
        <v/>
      </c>
      <c r="AJ26" s="475" t="str">
        <v>1</v>
      </c>
      <c r="AK26" s="157" t="str">
        <v>1</v>
      </c>
      <c r="AL26" s="157"/>
      <c r="AM26" s="157"/>
      <c r="AN26" s="431"/>
      <c r="AR26" s="157" t="str">
        <f t="shared" si="5"/>
        <v/>
      </c>
    </row>
    <row r="27" spans="2:44" s="25" customFormat="1" ht="15.6" x14ac:dyDescent="0.3">
      <c r="B27" s="264">
        <v>17</v>
      </c>
      <c r="C27" s="556" t="s">
        <v>249</v>
      </c>
      <c r="D27" s="826"/>
      <c r="E27" s="826"/>
      <c r="F27" s="939"/>
      <c r="G27" s="939"/>
      <c r="H27" s="939"/>
      <c r="I27" s="471"/>
      <c r="J27" s="306"/>
      <c r="K27" s="307"/>
      <c r="L27" s="466" t="str">
        <f t="shared" si="0"/>
        <v/>
      </c>
      <c r="M27" s="301" t="str">
        <f t="shared" si="6"/>
        <v/>
      </c>
      <c r="N27" s="466" t="str">
        <f t="shared" si="1"/>
        <v/>
      </c>
      <c r="O27" s="68"/>
      <c r="P27" s="8"/>
      <c r="R27" s="741"/>
      <c r="T27" s="787" t="str">
        <f>IF(D27="","",VLOOKUP(D27,'9. All Habitats + Multipliers'!$C$4:$K$102,5,FALSE))</f>
        <v/>
      </c>
      <c r="U27" s="788"/>
      <c r="V27" s="96" t="str">
        <f>IF(T27="","",VLOOKUP(T27,'11. Lists'!$B$47:$D$49,2,FALSE))</f>
        <v/>
      </c>
      <c r="W27" s="93" t="str">
        <f>IF(D27="","",VLOOKUP(D27,'10. Condition and Temporal'!$B$6:$C$103,2,FALSE))</f>
        <v/>
      </c>
      <c r="X27" s="96" t="str">
        <f>IF(W27="","",VLOOKUP(W27,'11. Lists'!$F$47:$G$51,2,FALSE))</f>
        <v/>
      </c>
      <c r="Y27" s="372"/>
      <c r="Z27" s="343"/>
      <c r="AA27" s="370"/>
      <c r="AB27" s="95" t="str">
        <f t="shared" si="7"/>
        <v/>
      </c>
      <c r="AC27" s="95" t="str">
        <f>IF(AB27="","",VLOOKUP(AB27,'11. Lists'!$F$36:$H$38,2,FALSE))</f>
        <v/>
      </c>
      <c r="AD27" s="94" t="str">
        <f>IF(AB27="","",VLOOKUP(AB27,'11. Lists'!$F$36:$H$38,3,FALSE))</f>
        <v/>
      </c>
      <c r="AE27" s="298" t="str">
        <f t="shared" si="2"/>
        <v/>
      </c>
      <c r="AF27" s="299" t="str">
        <f t="shared" si="3"/>
        <v/>
      </c>
      <c r="AG27" s="300" t="str">
        <f t="shared" si="4"/>
        <v/>
      </c>
      <c r="AH27" s="93" t="str">
        <f>IF(T27="","",VLOOKUP(T27,'11. Lists'!$B$47:$D$49,3,FALSE))</f>
        <v/>
      </c>
      <c r="AI27" s="344" t="str">
        <f>IF(D27="","",VLOOKUP(D27,'10. Condition and Temporal'!$B$6:$L$103,4,FALSE))</f>
        <v/>
      </c>
      <c r="AJ27" s="475" t="str">
        <v>1</v>
      </c>
      <c r="AK27" s="157" t="str">
        <v>1</v>
      </c>
      <c r="AL27" s="157"/>
      <c r="AM27" s="157"/>
      <c r="AN27" s="431"/>
      <c r="AR27" s="157" t="str">
        <f t="shared" si="5"/>
        <v/>
      </c>
    </row>
    <row r="28" spans="2:44" s="25" customFormat="1" ht="15.6" x14ac:dyDescent="0.3">
      <c r="B28" s="264">
        <v>18</v>
      </c>
      <c r="C28" s="556" t="s">
        <v>249</v>
      </c>
      <c r="D28" s="826"/>
      <c r="E28" s="826"/>
      <c r="F28" s="939"/>
      <c r="G28" s="939"/>
      <c r="H28" s="939"/>
      <c r="I28" s="471"/>
      <c r="J28" s="306"/>
      <c r="K28" s="307"/>
      <c r="L28" s="466" t="str">
        <f t="shared" si="0"/>
        <v/>
      </c>
      <c r="M28" s="301" t="str">
        <f t="shared" si="6"/>
        <v/>
      </c>
      <c r="N28" s="466" t="str">
        <f t="shared" si="1"/>
        <v/>
      </c>
      <c r="O28" s="68"/>
      <c r="P28" s="8"/>
      <c r="R28" s="741"/>
      <c r="T28" s="787" t="str">
        <f>IF(D28="","",VLOOKUP(D28,'9. All Habitats + Multipliers'!$C$4:$K$102,5,FALSE))</f>
        <v/>
      </c>
      <c r="U28" s="788"/>
      <c r="V28" s="96" t="str">
        <f>IF(T28="","",VLOOKUP(T28,'11. Lists'!$B$47:$D$49,2,FALSE))</f>
        <v/>
      </c>
      <c r="W28" s="93" t="str">
        <f>IF(D28="","",VLOOKUP(D28,'10. Condition and Temporal'!$B$6:$C$103,2,FALSE))</f>
        <v/>
      </c>
      <c r="X28" s="96" t="str">
        <f>IF(W28="","",VLOOKUP(W28,'11. Lists'!$F$47:$G$51,2,FALSE))</f>
        <v/>
      </c>
      <c r="Y28" s="372"/>
      <c r="Z28" s="343"/>
      <c r="AA28" s="370"/>
      <c r="AB28" s="95" t="str">
        <f t="shared" si="7"/>
        <v/>
      </c>
      <c r="AC28" s="95" t="str">
        <f>IF(AB28="","",VLOOKUP(AB28,'11. Lists'!$F$36:$H$38,2,FALSE))</f>
        <v/>
      </c>
      <c r="AD28" s="94" t="str">
        <f>IF(AB28="","",VLOOKUP(AB28,'11. Lists'!$F$36:$H$38,3,FALSE))</f>
        <v/>
      </c>
      <c r="AE28" s="298" t="str">
        <f t="shared" si="2"/>
        <v/>
      </c>
      <c r="AF28" s="299" t="str">
        <f t="shared" si="3"/>
        <v/>
      </c>
      <c r="AG28" s="300" t="str">
        <f t="shared" si="4"/>
        <v/>
      </c>
      <c r="AH28" s="93" t="str">
        <f>IF(T28="","",VLOOKUP(T28,'11. Lists'!$B$47:$D$49,3,FALSE))</f>
        <v/>
      </c>
      <c r="AI28" s="344" t="str">
        <f>IF(D28="","",VLOOKUP(D28,'10. Condition and Temporal'!$B$6:$L$103,4,FALSE))</f>
        <v/>
      </c>
      <c r="AJ28" s="475" t="str">
        <v>1</v>
      </c>
      <c r="AK28" s="157" t="str">
        <v>1</v>
      </c>
      <c r="AL28" s="157"/>
      <c r="AM28" s="157"/>
      <c r="AN28" s="431"/>
      <c r="AR28" s="157" t="str">
        <f t="shared" si="5"/>
        <v/>
      </c>
    </row>
    <row r="29" spans="2:44" s="25" customFormat="1" ht="15.6" x14ac:dyDescent="0.3">
      <c r="B29" s="264">
        <v>19</v>
      </c>
      <c r="C29" s="556" t="s">
        <v>249</v>
      </c>
      <c r="D29" s="826"/>
      <c r="E29" s="826"/>
      <c r="F29" s="939"/>
      <c r="G29" s="939"/>
      <c r="H29" s="939"/>
      <c r="I29" s="471"/>
      <c r="J29" s="306"/>
      <c r="K29" s="307"/>
      <c r="L29" s="466" t="str">
        <f t="shared" si="0"/>
        <v/>
      </c>
      <c r="M29" s="301" t="str">
        <f t="shared" si="6"/>
        <v/>
      </c>
      <c r="N29" s="466" t="str">
        <f t="shared" si="1"/>
        <v/>
      </c>
      <c r="O29" s="68"/>
      <c r="P29" s="8"/>
      <c r="R29" s="741"/>
      <c r="T29" s="787" t="str">
        <f>IF(D29="","",VLOOKUP(D29,'9. All Habitats + Multipliers'!$C$4:$K$102,5,FALSE))</f>
        <v/>
      </c>
      <c r="U29" s="788"/>
      <c r="V29" s="96" t="str">
        <f>IF(T29="","",VLOOKUP(T29,'11. Lists'!$B$47:$D$49,2,FALSE))</f>
        <v/>
      </c>
      <c r="W29" s="93" t="str">
        <f>IF(D29="","",VLOOKUP(D29,'10. Condition and Temporal'!$B$6:$C$103,2,FALSE))</f>
        <v/>
      </c>
      <c r="X29" s="96" t="str">
        <f>IF(W29="","",VLOOKUP(W29,'11. Lists'!$F$47:$G$51,2,FALSE))</f>
        <v/>
      </c>
      <c r="Y29" s="372"/>
      <c r="Z29" s="343"/>
      <c r="AA29" s="370"/>
      <c r="AB29" s="95" t="str">
        <f t="shared" si="7"/>
        <v/>
      </c>
      <c r="AC29" s="95" t="str">
        <f>IF(AB29="","",VLOOKUP(AB29,'11. Lists'!$F$36:$H$38,2,FALSE))</f>
        <v/>
      </c>
      <c r="AD29" s="94" t="str">
        <f>IF(AB29="","",VLOOKUP(AB29,'11. Lists'!$F$36:$H$38,3,FALSE))</f>
        <v/>
      </c>
      <c r="AE29" s="298" t="str">
        <f t="shared" si="2"/>
        <v/>
      </c>
      <c r="AF29" s="299" t="str">
        <f t="shared" si="3"/>
        <v/>
      </c>
      <c r="AG29" s="300" t="str">
        <f t="shared" si="4"/>
        <v/>
      </c>
      <c r="AH29" s="93" t="str">
        <f>IF(T29="","",VLOOKUP(T29,'11. Lists'!$B$47:$D$49,3,FALSE))</f>
        <v/>
      </c>
      <c r="AI29" s="344" t="str">
        <f>IF(D29="","",VLOOKUP(D29,'10. Condition and Temporal'!$B$6:$L$103,4,FALSE))</f>
        <v/>
      </c>
      <c r="AJ29" s="475" t="str">
        <v>1</v>
      </c>
      <c r="AK29" s="157" t="str">
        <v>1</v>
      </c>
      <c r="AL29" s="157"/>
      <c r="AM29" s="157"/>
      <c r="AN29" s="431"/>
      <c r="AR29" s="157" t="str">
        <f t="shared" si="5"/>
        <v/>
      </c>
    </row>
    <row r="30" spans="2:44" s="25" customFormat="1" ht="16.5" customHeight="1" thickBot="1" x14ac:dyDescent="0.35">
      <c r="B30" s="265">
        <v>20</v>
      </c>
      <c r="C30" s="557" t="s">
        <v>249</v>
      </c>
      <c r="D30" s="854"/>
      <c r="E30" s="854"/>
      <c r="F30" s="944"/>
      <c r="G30" s="944"/>
      <c r="H30" s="944"/>
      <c r="I30" s="472"/>
      <c r="J30" s="309"/>
      <c r="K30" s="310"/>
      <c r="L30" s="474" t="str">
        <f t="shared" si="0"/>
        <v/>
      </c>
      <c r="M30" s="315" t="str">
        <f>IF(I30="","",IF(J30+K30&gt;I30,"Length Error ▲",I30-J30-K30))</f>
        <v/>
      </c>
      <c r="N30" s="474" t="str">
        <f t="shared" si="1"/>
        <v/>
      </c>
      <c r="O30" s="70"/>
      <c r="P30" s="4"/>
      <c r="R30" s="741"/>
      <c r="T30" s="842" t="str">
        <f>IF(D30="","",VLOOKUP(D30,'9. All Habitats + Multipliers'!$C$4:$K$102,5,FALSE))</f>
        <v/>
      </c>
      <c r="U30" s="843"/>
      <c r="V30" s="96" t="str">
        <f>IF(T30="","",VLOOKUP(T30,'11. Lists'!$B$47:$D$49,2,FALSE))</f>
        <v/>
      </c>
      <c r="W30" s="98" t="str">
        <f>IF(D30="","",VLOOKUP(D30,'10. Condition and Temporal'!$B$6:$C$103,2,FALSE))</f>
        <v/>
      </c>
      <c r="X30" s="102" t="str">
        <f>IF(W30="","",VLOOKUP(W30,'11. Lists'!$F$47:$G$51,2,FALSE))</f>
        <v/>
      </c>
      <c r="Y30" s="372"/>
      <c r="Z30" s="343"/>
      <c r="AA30" s="370"/>
      <c r="AB30" s="95" t="str">
        <f t="shared" si="7"/>
        <v/>
      </c>
      <c r="AC30" s="95" t="str">
        <f>IF(AB30="","",VLOOKUP(AB30,'11. Lists'!$F$36:$H$38,2,FALSE))</f>
        <v/>
      </c>
      <c r="AD30" s="94" t="str">
        <f>IF(AB30="","",VLOOKUP(AB30,'11. Lists'!$F$36:$H$38,3,FALSE))</f>
        <v/>
      </c>
      <c r="AE30" s="298" t="str">
        <f t="shared" si="2"/>
        <v/>
      </c>
      <c r="AF30" s="299" t="str">
        <f t="shared" si="3"/>
        <v/>
      </c>
      <c r="AG30" s="300" t="str">
        <f t="shared" si="4"/>
        <v/>
      </c>
      <c r="AH30" s="93" t="str">
        <f>IF(T30="","",VLOOKUP(T30,'11. Lists'!$B$47:$D$49,3,FALSE))</f>
        <v/>
      </c>
      <c r="AI30" s="344" t="str">
        <f>IF(D30="","",VLOOKUP(D30,'10. Condition and Temporal'!$B$6:$L$103,4,FALSE))</f>
        <v/>
      </c>
      <c r="AJ30" s="475" t="str">
        <v>1</v>
      </c>
      <c r="AK30" s="157" t="str">
        <v>1</v>
      </c>
      <c r="AL30" s="157"/>
      <c r="AM30" s="157"/>
      <c r="AN30" s="431"/>
      <c r="AR30" s="157" t="str">
        <f t="shared" si="5"/>
        <v/>
      </c>
    </row>
    <row r="31" spans="2:44" s="25" customFormat="1" x14ac:dyDescent="0.3">
      <c r="D31" s="89"/>
      <c r="E31" s="103"/>
      <c r="F31" s="103"/>
      <c r="G31" s="103"/>
      <c r="H31" s="473" t="s">
        <v>224</v>
      </c>
      <c r="I31" s="326">
        <f t="shared" ref="I31:N31" si="8">SUM(I11:I30)</f>
        <v>0</v>
      </c>
      <c r="J31" s="327">
        <f t="shared" si="8"/>
        <v>0</v>
      </c>
      <c r="K31" s="328">
        <f t="shared" si="8"/>
        <v>0</v>
      </c>
      <c r="L31" s="283">
        <f t="shared" si="8"/>
        <v>0</v>
      </c>
      <c r="M31" s="316">
        <f t="shared" si="8"/>
        <v>0</v>
      </c>
      <c r="N31" s="291">
        <f t="shared" si="8"/>
        <v>0</v>
      </c>
      <c r="R31" s="741"/>
      <c r="AJ31" s="157"/>
      <c r="AK31" s="157"/>
      <c r="AL31" s="157"/>
      <c r="AM31" s="157"/>
      <c r="AN31" s="157"/>
      <c r="AR31" s="157"/>
    </row>
    <row r="32" spans="2:44" s="25" customFormat="1" x14ac:dyDescent="0.3">
      <c r="D32" s="89"/>
      <c r="E32" s="103"/>
      <c r="F32" s="103"/>
      <c r="G32" s="103"/>
      <c r="H32" s="289" t="s">
        <v>94</v>
      </c>
      <c r="I32" s="898" t="str">
        <f>IF(I31&lt;J31+K31,"Error - Lengths Retained and Enhanced Exceed Total Length ▲","Lengths Acceptable ✓")</f>
        <v>Lengths Acceptable ✓</v>
      </c>
      <c r="J32" s="898"/>
      <c r="K32" s="898"/>
      <c r="L32" s="898"/>
      <c r="M32" s="898"/>
      <c r="N32" s="899"/>
      <c r="O32" s="157">
        <f>IFERROR(FIND("Error",#REF!),0)</f>
        <v>0</v>
      </c>
      <c r="R32" s="104"/>
      <c r="AJ32" s="157"/>
      <c r="AK32" s="157"/>
      <c r="AL32" s="157"/>
      <c r="AM32" s="157"/>
      <c r="AN32" s="157"/>
      <c r="AR32" s="157"/>
    </row>
    <row r="33" spans="2:44" s="25" customFormat="1" ht="15" thickBot="1" x14ac:dyDescent="0.35">
      <c r="D33" s="89"/>
      <c r="E33" s="103"/>
      <c r="F33" s="103"/>
      <c r="G33" s="103"/>
      <c r="H33" s="272" t="s">
        <v>94</v>
      </c>
      <c r="I33" s="968" t="str">
        <f>IF(I31&lt;5000,"Lengths Acceptable ✓",IF(I31&gt;=5000,"Length Exceeds Length Appropriate for Small Sites Metric ▲"))</f>
        <v>Lengths Acceptable ✓</v>
      </c>
      <c r="J33" s="866"/>
      <c r="K33" s="866"/>
      <c r="L33" s="866"/>
      <c r="M33" s="866"/>
      <c r="N33" s="867"/>
      <c r="O33" s="157">
        <f>COUNTIF(L11:N30,"*"&amp;"error"&amp;"*")</f>
        <v>0</v>
      </c>
      <c r="R33" s="104"/>
      <c r="AJ33" s="157"/>
      <c r="AK33" s="157"/>
      <c r="AL33" s="157"/>
      <c r="AM33" s="157"/>
      <c r="AN33" s="157"/>
      <c r="AR33" s="157"/>
    </row>
    <row r="34" spans="2:44" s="25" customFormat="1" x14ac:dyDescent="0.3">
      <c r="D34" s="89"/>
      <c r="E34" s="103"/>
      <c r="F34" s="103"/>
      <c r="G34" s="103"/>
      <c r="H34" s="103"/>
      <c r="I34" s="103"/>
      <c r="J34" s="103"/>
      <c r="K34" s="103"/>
      <c r="L34" s="103"/>
      <c r="M34" s="103"/>
      <c r="N34" s="103"/>
      <c r="O34" s="26"/>
      <c r="R34" s="741" t="s">
        <v>52</v>
      </c>
      <c r="AJ34" s="157"/>
      <c r="AK34" s="157"/>
      <c r="AL34" s="157"/>
      <c r="AM34" s="157"/>
      <c r="AN34" s="157"/>
      <c r="AR34" s="157"/>
    </row>
    <row r="35" spans="2:44" s="25" customFormat="1" ht="21" x14ac:dyDescent="0.4">
      <c r="B35" s="57" t="s">
        <v>97</v>
      </c>
      <c r="D35" s="88"/>
      <c r="E35" s="103"/>
      <c r="F35" s="103"/>
      <c r="G35" s="103"/>
      <c r="I35" s="26"/>
      <c r="R35" s="741"/>
      <c r="AJ35" s="157"/>
      <c r="AK35" s="157"/>
      <c r="AL35" s="157"/>
      <c r="AM35" s="157"/>
      <c r="AN35" s="157"/>
      <c r="AR35" s="157"/>
    </row>
    <row r="36" spans="2:44" s="25" customFormat="1" ht="15.75" customHeight="1" thickBot="1" x14ac:dyDescent="0.35">
      <c r="R36" s="741"/>
      <c r="AJ36" s="157"/>
      <c r="AK36" s="157"/>
      <c r="AL36" s="157"/>
      <c r="AM36" s="157"/>
      <c r="AN36" s="157"/>
      <c r="AR36" s="157"/>
    </row>
    <row r="37" spans="2:44" s="25" customFormat="1" ht="16.2" customHeight="1" thickBot="1" x14ac:dyDescent="0.35">
      <c r="B37" s="719" t="s">
        <v>46</v>
      </c>
      <c r="C37" s="718"/>
      <c r="D37" s="768"/>
      <c r="E37" s="708" t="s">
        <v>98</v>
      </c>
      <c r="F37" s="709"/>
      <c r="G37" s="710"/>
      <c r="H37" s="709" t="s">
        <v>99</v>
      </c>
      <c r="I37" s="654" t="s">
        <v>225</v>
      </c>
      <c r="J37" s="782"/>
      <c r="K37" s="782"/>
      <c r="L37" s="708" t="s">
        <v>250</v>
      </c>
      <c r="M37" s="718"/>
      <c r="N37" s="710"/>
      <c r="O37" s="767" t="s">
        <v>65</v>
      </c>
      <c r="P37" s="710"/>
      <c r="R37" s="741"/>
      <c r="T37" s="977" t="s">
        <v>66</v>
      </c>
      <c r="U37" s="978"/>
      <c r="V37" s="979"/>
      <c r="W37" s="941" t="s">
        <v>67</v>
      </c>
      <c r="X37" s="942"/>
      <c r="Y37" s="800"/>
      <c r="Z37" s="800"/>
      <c r="AA37" s="800"/>
      <c r="AB37" s="941" t="s">
        <v>68</v>
      </c>
      <c r="AC37" s="943"/>
      <c r="AD37" s="942"/>
      <c r="AE37" s="973" t="s">
        <v>102</v>
      </c>
      <c r="AF37" s="974"/>
      <c r="AG37" s="973" t="s">
        <v>103</v>
      </c>
      <c r="AH37" s="974"/>
      <c r="AI37" s="930" t="s">
        <v>251</v>
      </c>
      <c r="AJ37" s="157"/>
      <c r="AK37" s="157"/>
      <c r="AL37" s="157"/>
      <c r="AM37" s="157"/>
      <c r="AN37" s="157"/>
      <c r="AR37" s="157"/>
    </row>
    <row r="38" spans="2:44" s="25" customFormat="1" ht="31.8" thickBot="1" x14ac:dyDescent="0.35">
      <c r="B38" s="667"/>
      <c r="C38" s="197" t="s">
        <v>72</v>
      </c>
      <c r="D38" s="198" t="s">
        <v>104</v>
      </c>
      <c r="E38" s="86" t="s">
        <v>105</v>
      </c>
      <c r="F38" s="670" t="s">
        <v>106</v>
      </c>
      <c r="G38" s="679"/>
      <c r="H38" s="668"/>
      <c r="I38" s="656"/>
      <c r="J38" s="783"/>
      <c r="K38" s="783"/>
      <c r="L38" s="895"/>
      <c r="M38" s="896"/>
      <c r="N38" s="897"/>
      <c r="O38" s="196" t="s">
        <v>80</v>
      </c>
      <c r="P38" s="90" t="s">
        <v>81</v>
      </c>
      <c r="R38" s="741"/>
      <c r="T38" s="973" t="s">
        <v>82</v>
      </c>
      <c r="U38" s="980"/>
      <c r="V38" s="526" t="s">
        <v>83</v>
      </c>
      <c r="W38" s="111" t="s">
        <v>84</v>
      </c>
      <c r="X38" s="112" t="s">
        <v>83</v>
      </c>
      <c r="Y38" s="371"/>
      <c r="Z38" s="365"/>
      <c r="AA38" s="527"/>
      <c r="AB38" s="111" t="s">
        <v>68</v>
      </c>
      <c r="AC38" s="500" t="s">
        <v>68</v>
      </c>
      <c r="AD38" s="112" t="s">
        <v>85</v>
      </c>
      <c r="AE38" s="111" t="s">
        <v>107</v>
      </c>
      <c r="AF38" s="112" t="s">
        <v>108</v>
      </c>
      <c r="AG38" s="111" t="s">
        <v>109</v>
      </c>
      <c r="AH38" s="112" t="s">
        <v>110</v>
      </c>
      <c r="AI38" s="931"/>
      <c r="AJ38" s="157"/>
      <c r="AK38" s="157"/>
      <c r="AL38" s="157"/>
      <c r="AM38" s="157"/>
      <c r="AN38" s="157"/>
      <c r="AR38" s="157"/>
    </row>
    <row r="39" spans="2:44" s="25" customFormat="1" ht="15.6" x14ac:dyDescent="0.3">
      <c r="B39" s="270">
        <v>1</v>
      </c>
      <c r="C39" s="555" t="s">
        <v>249</v>
      </c>
      <c r="D39" s="139"/>
      <c r="E39" s="140" t="str">
        <f>IF(D39="","",VLOOKUP(D39,'10. Condition and Temporal'!$B$6:$D$103,3,FALSE))</f>
        <v/>
      </c>
      <c r="F39" s="722"/>
      <c r="G39" s="723"/>
      <c r="H39" s="141"/>
      <c r="I39" s="945"/>
      <c r="J39" s="946"/>
      <c r="K39" s="946"/>
      <c r="L39" s="947" t="str">
        <f>IF(D39="","",IFERROR(IF(I39="","",((I39/1000)*(V39*X39))*(AH39*AF39)*AD39*AI39),"This intervention is not permitted within the SSM ▲"))</f>
        <v/>
      </c>
      <c r="M39" s="948"/>
      <c r="N39" s="949"/>
      <c r="O39" s="217"/>
      <c r="P39" s="142"/>
      <c r="Q39" s="106"/>
      <c r="R39" s="741"/>
      <c r="T39" s="981" t="str">
        <f>IF(D39="","",VLOOKUP(D39,'9. All Habitats + Multipliers'!$C$4:$K$102,5,FALSE))</f>
        <v/>
      </c>
      <c r="U39" s="982"/>
      <c r="V39" s="363" t="str">
        <f>IF(T39="","",VLOOKUP(T39,'11. Lists'!$B$47:$D$49,2,FALSE))</f>
        <v/>
      </c>
      <c r="W39" s="361" t="str">
        <f>IF(F39="","",F39)</f>
        <v/>
      </c>
      <c r="X39" s="363" t="str">
        <f>IF(W39="","",VLOOKUP(W39,'11. Lists'!$F$47:$G$51,2,FALSE))</f>
        <v/>
      </c>
      <c r="Y39" s="372"/>
      <c r="Z39" s="343"/>
      <c r="AA39" s="507"/>
      <c r="AB39" s="114" t="str">
        <f>IF(H39="","",H39)</f>
        <v/>
      </c>
      <c r="AC39" s="116" t="str">
        <f>IF(AB39="","",VLOOKUP(AB39,'11. Lists'!$F$36:$H$38,2,FALSE))</f>
        <v/>
      </c>
      <c r="AD39" s="115" t="str">
        <f>IF(AB39="","",VLOOKUP(AB39,'11. Lists'!$F$36:$H$38,3,FALSE))</f>
        <v/>
      </c>
      <c r="AE39" s="361" t="str">
        <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f>
        <v/>
      </c>
      <c r="AF39" s="520" t="str">
        <f>IF(AE39="","",VLOOKUP(AE39,'11. Lists'!$I$47:$K$80,3,FALSE))</f>
        <v/>
      </c>
      <c r="AG39" s="361" t="str">
        <f>IF(D39="","",VLOOKUP(D39,'9. All Habitats + Multipliers'!$C$4:$K$102,7,FALSE))</f>
        <v/>
      </c>
      <c r="AH39" s="363" t="str">
        <f>IF(AG39="","",VLOOKUP(AG39,'11. Lists'!$J$35:$K$38,2,FALSE))</f>
        <v/>
      </c>
      <c r="AI39" s="528" t="str" cm="1">
        <f t="array" ref="AI39:AI58">IF($D$39:$D$58="Culvert","0.68","1")</f>
        <v>1</v>
      </c>
      <c r="AJ39" s="157"/>
      <c r="AK39" s="157"/>
      <c r="AL39" s="157"/>
      <c r="AM39" s="157"/>
      <c r="AN39" s="157"/>
      <c r="AR39" s="157"/>
    </row>
    <row r="40" spans="2:44" s="25" customFormat="1" ht="15.6" x14ac:dyDescent="0.3">
      <c r="B40" s="264">
        <v>2</v>
      </c>
      <c r="C40" s="556" t="s">
        <v>249</v>
      </c>
      <c r="D40" s="73"/>
      <c r="E40" s="105" t="str">
        <f>IF(D40="","",VLOOKUP(D40,'10. Condition and Temporal'!$B$6:$D$103,3,FALSE))</f>
        <v/>
      </c>
      <c r="F40" s="702"/>
      <c r="G40" s="703"/>
      <c r="H40" s="71"/>
      <c r="I40" s="724"/>
      <c r="J40" s="725"/>
      <c r="K40" s="725"/>
      <c r="L40" s="947" t="str">
        <f t="shared" ref="L40:L58" si="9">IF(D40="","",IFERROR(IF(I40="","",((I40/1000)*(V40*X40))*(AH40*AF40)*AD40*AI40),"This intervention is not permitted within the SSM ▲"))</f>
        <v/>
      </c>
      <c r="M40" s="948"/>
      <c r="N40" s="949"/>
      <c r="O40" s="74"/>
      <c r="P40" s="12"/>
      <c r="Q40" s="106"/>
      <c r="R40" s="741"/>
      <c r="T40" s="787" t="str">
        <f>IF(D40="","",VLOOKUP(D40,'9. All Habitats + Multipliers'!$C$4:$K$102,5,FALSE))</f>
        <v/>
      </c>
      <c r="U40" s="788"/>
      <c r="V40" s="94" t="str">
        <f>IF(T40="","",VLOOKUP(T40,'11. Lists'!$B$47:$D$49,2,FALSE))</f>
        <v/>
      </c>
      <c r="W40" s="93" t="str">
        <f>IF(F40="","",F40)</f>
        <v/>
      </c>
      <c r="X40" s="94" t="str">
        <f>IF(W40="","",VLOOKUP(W40,'11. Lists'!$F$47:$G$51,2,FALSE))</f>
        <v/>
      </c>
      <c r="Y40" s="372"/>
      <c r="Z40" s="343"/>
      <c r="AA40" s="507"/>
      <c r="AB40" s="93" t="str">
        <f t="shared" ref="AB40:AB58" si="10">IF(H40="","",H40)</f>
        <v/>
      </c>
      <c r="AC40" s="95" t="str">
        <f>IF(AB40="","",VLOOKUP(AB40,'11. Lists'!$F$36:$H$38,2,FALSE))</f>
        <v/>
      </c>
      <c r="AD40" s="94" t="str">
        <f>IF(AB40="","",VLOOKUP(AB40,'11. Lists'!$F$36:$H$38,3,FALSE))</f>
        <v/>
      </c>
      <c r="AE40" s="93" t="str">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
      </c>
      <c r="AF40" s="107" t="str">
        <f>IF(AE40="","",VLOOKUP(AE40,'11. Lists'!$I$47:$K$80,3,FALSE))</f>
        <v/>
      </c>
      <c r="AG40" s="93" t="str">
        <f>IF(D40="","",VLOOKUP(D40,'9. All Habitats + Multipliers'!$C$4:$K$102,7,FALSE))</f>
        <v/>
      </c>
      <c r="AH40" s="94" t="str">
        <f>IF(AG40="","",VLOOKUP(AG40,'11. Lists'!$J$35:$K$38,2,FALSE))</f>
        <v/>
      </c>
      <c r="AI40" s="482" t="str">
        <v>1</v>
      </c>
      <c r="AJ40" s="157"/>
      <c r="AK40" s="157"/>
      <c r="AL40" s="157"/>
      <c r="AM40" s="157"/>
      <c r="AN40" s="157"/>
      <c r="AR40" s="157"/>
    </row>
    <row r="41" spans="2:44" s="25" customFormat="1" ht="15.6" x14ac:dyDescent="0.3">
      <c r="B41" s="264">
        <v>3</v>
      </c>
      <c r="C41" s="556" t="s">
        <v>249</v>
      </c>
      <c r="D41" s="73"/>
      <c r="E41" s="105" t="str">
        <f>IF(D41="","",VLOOKUP(D41,'10. Condition and Temporal'!$B$6:$D$103,3,FALSE))</f>
        <v/>
      </c>
      <c r="F41" s="702"/>
      <c r="G41" s="703"/>
      <c r="H41" s="71"/>
      <c r="I41" s="724"/>
      <c r="J41" s="725"/>
      <c r="K41" s="725"/>
      <c r="L41" s="947" t="str">
        <f t="shared" si="9"/>
        <v/>
      </c>
      <c r="M41" s="948"/>
      <c r="N41" s="949"/>
      <c r="O41" s="74"/>
      <c r="P41" s="12"/>
      <c r="Q41" s="106"/>
      <c r="R41" s="741"/>
      <c r="T41" s="787" t="str">
        <f>IF(D41="","",VLOOKUP(D41,'9. All Habitats + Multipliers'!$C$4:$K$102,5,FALSE))</f>
        <v/>
      </c>
      <c r="U41" s="788"/>
      <c r="V41" s="94" t="str">
        <f>IF(T41="","",VLOOKUP(T41,'11. Lists'!$B$47:$D$49,2,FALSE))</f>
        <v/>
      </c>
      <c r="W41" s="93" t="str">
        <f>IF(F41="","",F41)</f>
        <v/>
      </c>
      <c r="X41" s="94" t="str">
        <f>IF(W41="","",VLOOKUP(W41,'11. Lists'!$F$47:$G$51,2,FALSE))</f>
        <v/>
      </c>
      <c r="Y41" s="372"/>
      <c r="Z41" s="343"/>
      <c r="AA41" s="507"/>
      <c r="AB41" s="93" t="str">
        <f t="shared" si="10"/>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c r="AI41" s="482" t="str">
        <v>1</v>
      </c>
      <c r="AJ41" s="157"/>
      <c r="AK41" s="157"/>
      <c r="AL41" s="157"/>
      <c r="AM41" s="157"/>
      <c r="AN41" s="157"/>
      <c r="AR41" s="157"/>
    </row>
    <row r="42" spans="2:44" s="25" customFormat="1" ht="15.6" x14ac:dyDescent="0.3">
      <c r="B42" s="264">
        <v>4</v>
      </c>
      <c r="C42" s="556" t="s">
        <v>249</v>
      </c>
      <c r="D42" s="73"/>
      <c r="E42" s="105" t="str">
        <f>IF(D42="","",VLOOKUP(D42,'10. Condition and Temporal'!$B$6:$D$103,3,FALSE))</f>
        <v/>
      </c>
      <c r="F42" s="702"/>
      <c r="G42" s="703"/>
      <c r="H42" s="71"/>
      <c r="I42" s="724"/>
      <c r="J42" s="725"/>
      <c r="K42" s="725"/>
      <c r="L42" s="947" t="str">
        <f t="shared" si="9"/>
        <v/>
      </c>
      <c r="M42" s="948"/>
      <c r="N42" s="949"/>
      <c r="O42" s="74"/>
      <c r="P42" s="12"/>
      <c r="Q42" s="106"/>
      <c r="R42" s="741"/>
      <c r="T42" s="787" t="str">
        <f>IF(D42="","",VLOOKUP(D42,'9. All Habitats + Multipliers'!$C$4:$K$102,5,FALSE))</f>
        <v/>
      </c>
      <c r="U42" s="788"/>
      <c r="V42" s="94" t="str">
        <f>IF(T42="","",VLOOKUP(T42,'11. Lists'!$B$47:$D$49,2,FALSE))</f>
        <v/>
      </c>
      <c r="W42" s="93" t="str">
        <f>IF(F42="","",F42)</f>
        <v/>
      </c>
      <c r="X42" s="94" t="str">
        <f>IF(W42="","",VLOOKUP(W42,'11. Lists'!$F$47:$G$51,2,FALSE))</f>
        <v/>
      </c>
      <c r="Y42" s="372"/>
      <c r="Z42" s="343"/>
      <c r="AA42" s="507"/>
      <c r="AB42" s="93" t="str">
        <f t="shared" si="10"/>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c r="AI42" s="482" t="str">
        <v>1</v>
      </c>
      <c r="AJ42" s="157"/>
      <c r="AK42" s="157"/>
      <c r="AL42" s="157"/>
      <c r="AM42" s="157"/>
      <c r="AN42" s="157"/>
      <c r="AR42" s="157"/>
    </row>
    <row r="43" spans="2:44" s="25" customFormat="1" ht="15.6" x14ac:dyDescent="0.3">
      <c r="B43" s="264">
        <v>5</v>
      </c>
      <c r="C43" s="556" t="s">
        <v>249</v>
      </c>
      <c r="D43" s="73"/>
      <c r="E43" s="105" t="str">
        <f>IF(D43="","",VLOOKUP(D43,'10. Condition and Temporal'!$B$6:$D$103,3,FALSE))</f>
        <v/>
      </c>
      <c r="F43" s="702"/>
      <c r="G43" s="703"/>
      <c r="H43" s="71"/>
      <c r="I43" s="724"/>
      <c r="J43" s="725"/>
      <c r="K43" s="725"/>
      <c r="L43" s="947" t="str">
        <f t="shared" si="9"/>
        <v/>
      </c>
      <c r="M43" s="948"/>
      <c r="N43" s="949"/>
      <c r="O43" s="74"/>
      <c r="P43" s="12"/>
      <c r="R43" s="741"/>
      <c r="T43" s="787" t="str">
        <f>IF(D43="","",VLOOKUP(D43,'9. All Habitats + Multipliers'!$C$4:$K$102,5,FALSE))</f>
        <v/>
      </c>
      <c r="U43" s="788"/>
      <c r="V43" s="94" t="str">
        <f>IF(T43="","",VLOOKUP(T43,'11. Lists'!$B$47:$D$49,2,FALSE))</f>
        <v/>
      </c>
      <c r="W43" s="93" t="str">
        <f t="shared" ref="W43:W58" si="11">IF(F43="","",F43)</f>
        <v/>
      </c>
      <c r="X43" s="94" t="str">
        <f>IF(W43="","",VLOOKUP(W43,'11. Lists'!$F$47:$G$51,2,FALSE))</f>
        <v/>
      </c>
      <c r="Y43" s="372"/>
      <c r="Z43" s="343"/>
      <c r="AA43" s="507"/>
      <c r="AB43" s="93" t="str">
        <f t="shared" si="10"/>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c r="AI43" s="482" t="str">
        <v>1</v>
      </c>
      <c r="AJ43" s="157"/>
      <c r="AK43" s="157"/>
      <c r="AL43" s="157"/>
      <c r="AM43" s="157"/>
      <c r="AN43" s="157"/>
      <c r="AR43" s="157"/>
    </row>
    <row r="44" spans="2:44" s="25" customFormat="1" ht="15.6" x14ac:dyDescent="0.3">
      <c r="B44" s="264">
        <v>6</v>
      </c>
      <c r="C44" s="556" t="s">
        <v>249</v>
      </c>
      <c r="D44" s="73"/>
      <c r="E44" s="105" t="str">
        <f>IF(D44="","",VLOOKUP(D44,'10. Condition and Temporal'!$B$6:$D$103,3,FALSE))</f>
        <v/>
      </c>
      <c r="F44" s="702"/>
      <c r="G44" s="703"/>
      <c r="H44" s="71"/>
      <c r="I44" s="724"/>
      <c r="J44" s="725"/>
      <c r="K44" s="725"/>
      <c r="L44" s="947" t="str">
        <f t="shared" si="9"/>
        <v/>
      </c>
      <c r="M44" s="948"/>
      <c r="N44" s="949"/>
      <c r="O44" s="74"/>
      <c r="P44" s="12"/>
      <c r="R44" s="741"/>
      <c r="T44" s="787" t="str">
        <f>IF(D44="","",VLOOKUP(D44,'9. All Habitats + Multipliers'!$C$4:$K$102,5,FALSE))</f>
        <v/>
      </c>
      <c r="U44" s="788"/>
      <c r="V44" s="94" t="str">
        <f>IF(T44="","",VLOOKUP(T44,'11. Lists'!$B$47:$D$49,2,FALSE))</f>
        <v/>
      </c>
      <c r="W44" s="93" t="str">
        <f t="shared" si="11"/>
        <v/>
      </c>
      <c r="X44" s="94" t="str">
        <f>IF(W44="","",VLOOKUP(W44,'11. Lists'!$F$47:$G$51,2,FALSE))</f>
        <v/>
      </c>
      <c r="Y44" s="372"/>
      <c r="Z44" s="343"/>
      <c r="AA44" s="507"/>
      <c r="AB44" s="93" t="str">
        <f t="shared" si="10"/>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c r="AI44" s="482" t="str">
        <v>1</v>
      </c>
      <c r="AJ44" s="157"/>
      <c r="AK44" s="157"/>
      <c r="AL44" s="157"/>
      <c r="AM44" s="157"/>
      <c r="AN44" s="157"/>
      <c r="AR44" s="157"/>
    </row>
    <row r="45" spans="2:44" s="25" customFormat="1" ht="15.6" x14ac:dyDescent="0.3">
      <c r="B45" s="264">
        <v>7</v>
      </c>
      <c r="C45" s="556" t="s">
        <v>249</v>
      </c>
      <c r="D45" s="73"/>
      <c r="E45" s="105" t="str">
        <f>IF(D45="","",VLOOKUP(D45,'10. Condition and Temporal'!$B$6:$D$103,3,FALSE))</f>
        <v/>
      </c>
      <c r="F45" s="702"/>
      <c r="G45" s="703"/>
      <c r="H45" s="71"/>
      <c r="I45" s="724"/>
      <c r="J45" s="725"/>
      <c r="K45" s="725"/>
      <c r="L45" s="947" t="str">
        <f t="shared" si="9"/>
        <v/>
      </c>
      <c r="M45" s="948"/>
      <c r="N45" s="949"/>
      <c r="O45" s="74"/>
      <c r="P45" s="12"/>
      <c r="R45" s="741"/>
      <c r="T45" s="787" t="str">
        <f>IF(D45="","",VLOOKUP(D45,'9. All Habitats + Multipliers'!$C$4:$K$102,5,FALSE))</f>
        <v/>
      </c>
      <c r="U45" s="788"/>
      <c r="V45" s="94" t="str">
        <f>IF(T45="","",VLOOKUP(T45,'11. Lists'!$B$47:$D$49,2,FALSE))</f>
        <v/>
      </c>
      <c r="W45" s="93" t="str">
        <f t="shared" si="11"/>
        <v/>
      </c>
      <c r="X45" s="94" t="str">
        <f>IF(W45="","",VLOOKUP(W45,'11. Lists'!$F$47:$G$51,2,FALSE))</f>
        <v/>
      </c>
      <c r="Y45" s="372"/>
      <c r="Z45" s="343"/>
      <c r="AA45" s="507"/>
      <c r="AB45" s="93" t="str">
        <f t="shared" si="10"/>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c r="AI45" s="482" t="str">
        <v>1</v>
      </c>
      <c r="AJ45" s="157"/>
      <c r="AK45" s="157"/>
      <c r="AL45" s="157"/>
      <c r="AM45" s="157"/>
      <c r="AN45" s="157"/>
      <c r="AR45" s="157"/>
    </row>
    <row r="46" spans="2:44" s="25" customFormat="1" ht="15.6" x14ac:dyDescent="0.3">
      <c r="B46" s="264">
        <v>8</v>
      </c>
      <c r="C46" s="556" t="s">
        <v>249</v>
      </c>
      <c r="D46" s="73"/>
      <c r="E46" s="105" t="str">
        <f>IF(D46="","",VLOOKUP(D46,'10. Condition and Temporal'!$B$6:$D$103,3,FALSE))</f>
        <v/>
      </c>
      <c r="F46" s="702"/>
      <c r="G46" s="703"/>
      <c r="H46" s="71"/>
      <c r="I46" s="724"/>
      <c r="J46" s="725"/>
      <c r="K46" s="725"/>
      <c r="L46" s="947" t="str">
        <f t="shared" si="9"/>
        <v/>
      </c>
      <c r="M46" s="948"/>
      <c r="N46" s="949"/>
      <c r="O46" s="74"/>
      <c r="P46" s="12"/>
      <c r="R46" s="741"/>
      <c r="T46" s="787" t="str">
        <f>IF(D46="","",VLOOKUP(D46,'9. All Habitats + Multipliers'!$C$4:$K$102,5,FALSE))</f>
        <v/>
      </c>
      <c r="U46" s="788"/>
      <c r="V46" s="94" t="str">
        <f>IF(T46="","",VLOOKUP(T46,'11. Lists'!$B$47:$D$49,2,FALSE))</f>
        <v/>
      </c>
      <c r="W46" s="93" t="str">
        <f t="shared" si="11"/>
        <v/>
      </c>
      <c r="X46" s="94" t="str">
        <f>IF(W46="","",VLOOKUP(W46,'11. Lists'!$F$47:$G$51,2,FALSE))</f>
        <v/>
      </c>
      <c r="Y46" s="372"/>
      <c r="Z46" s="343"/>
      <c r="AA46" s="507"/>
      <c r="AB46" s="93" t="str">
        <f t="shared" si="10"/>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c r="AI46" s="482" t="str">
        <v>1</v>
      </c>
      <c r="AJ46" s="157"/>
      <c r="AK46" s="157"/>
      <c r="AL46" s="157"/>
      <c r="AM46" s="157"/>
      <c r="AN46" s="157"/>
      <c r="AR46" s="157"/>
    </row>
    <row r="47" spans="2:44" s="25" customFormat="1" ht="15.6" x14ac:dyDescent="0.3">
      <c r="B47" s="264">
        <v>9</v>
      </c>
      <c r="C47" s="556" t="s">
        <v>249</v>
      </c>
      <c r="D47" s="73"/>
      <c r="E47" s="105" t="str">
        <f>IF(D47="","",VLOOKUP(D47,'10. Condition and Temporal'!$B$6:$D$103,3,FALSE))</f>
        <v/>
      </c>
      <c r="F47" s="702"/>
      <c r="G47" s="703"/>
      <c r="H47" s="71"/>
      <c r="I47" s="724"/>
      <c r="J47" s="725"/>
      <c r="K47" s="725"/>
      <c r="L47" s="947" t="str">
        <f t="shared" si="9"/>
        <v/>
      </c>
      <c r="M47" s="948"/>
      <c r="N47" s="949"/>
      <c r="O47" s="74"/>
      <c r="P47" s="12"/>
      <c r="R47" s="741"/>
      <c r="T47" s="787" t="str">
        <f>IF(D47="","",VLOOKUP(D47,'9. All Habitats + Multipliers'!$C$4:$K$102,5,FALSE))</f>
        <v/>
      </c>
      <c r="U47" s="788"/>
      <c r="V47" s="94" t="str">
        <f>IF(T47="","",VLOOKUP(T47,'11. Lists'!$B$47:$D$49,2,FALSE))</f>
        <v/>
      </c>
      <c r="W47" s="93" t="str">
        <f t="shared" si="11"/>
        <v/>
      </c>
      <c r="X47" s="94" t="str">
        <f>IF(W47="","",VLOOKUP(W47,'11. Lists'!$F$47:$G$51,2,FALSE))</f>
        <v/>
      </c>
      <c r="Y47" s="372"/>
      <c r="Z47" s="343"/>
      <c r="AA47" s="507"/>
      <c r="AB47" s="93" t="str">
        <f t="shared" si="10"/>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c r="AI47" s="482" t="str">
        <v>1</v>
      </c>
      <c r="AJ47" s="157"/>
      <c r="AK47" s="157"/>
      <c r="AL47" s="157"/>
      <c r="AM47" s="157"/>
      <c r="AN47" s="157"/>
      <c r="AR47" s="157"/>
    </row>
    <row r="48" spans="2:44" s="25" customFormat="1" ht="15.6" x14ac:dyDescent="0.3">
      <c r="B48" s="264">
        <v>10</v>
      </c>
      <c r="C48" s="556" t="s">
        <v>249</v>
      </c>
      <c r="D48" s="73"/>
      <c r="E48" s="105" t="str">
        <f>IF(D48="","",VLOOKUP(D48,'10. Condition and Temporal'!$B$6:$D$103,3,FALSE))</f>
        <v/>
      </c>
      <c r="F48" s="702"/>
      <c r="G48" s="703"/>
      <c r="H48" s="71"/>
      <c r="I48" s="724"/>
      <c r="J48" s="725"/>
      <c r="K48" s="725"/>
      <c r="L48" s="947" t="str">
        <f t="shared" si="9"/>
        <v/>
      </c>
      <c r="M48" s="948"/>
      <c r="N48" s="949"/>
      <c r="O48" s="74"/>
      <c r="P48" s="12"/>
      <c r="R48" s="741"/>
      <c r="T48" s="787" t="str">
        <f>IF(D48="","",VLOOKUP(D48,'9. All Habitats + Multipliers'!$C$4:$K$102,5,FALSE))</f>
        <v/>
      </c>
      <c r="U48" s="788"/>
      <c r="V48" s="94" t="str">
        <f>IF(T48="","",VLOOKUP(T48,'11. Lists'!$B$47:$D$49,2,FALSE))</f>
        <v/>
      </c>
      <c r="W48" s="93" t="str">
        <f t="shared" si="11"/>
        <v/>
      </c>
      <c r="X48" s="94" t="str">
        <f>IF(W48="","",VLOOKUP(W48,'11. Lists'!$F$47:$G$51,2,FALSE))</f>
        <v/>
      </c>
      <c r="Y48" s="372"/>
      <c r="Z48" s="343"/>
      <c r="AA48" s="507"/>
      <c r="AB48" s="93" t="str">
        <f t="shared" si="10"/>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c r="AI48" s="482" t="str">
        <v>1</v>
      </c>
      <c r="AJ48" s="157"/>
      <c r="AK48" s="157"/>
      <c r="AL48" s="157"/>
      <c r="AM48" s="157"/>
      <c r="AN48" s="157"/>
      <c r="AR48" s="157"/>
    </row>
    <row r="49" spans="1:73" s="25" customFormat="1" ht="15.6" x14ac:dyDescent="0.3">
      <c r="B49" s="264">
        <v>11</v>
      </c>
      <c r="C49" s="556" t="s">
        <v>249</v>
      </c>
      <c r="D49" s="73"/>
      <c r="E49" s="105" t="str">
        <f>IF(D49="","",VLOOKUP(D49,'10. Condition and Temporal'!$B$6:$D$103,3,FALSE))</f>
        <v/>
      </c>
      <c r="F49" s="702"/>
      <c r="G49" s="703"/>
      <c r="H49" s="71"/>
      <c r="I49" s="724"/>
      <c r="J49" s="725"/>
      <c r="K49" s="725"/>
      <c r="L49" s="947" t="str">
        <f t="shared" si="9"/>
        <v/>
      </c>
      <c r="M49" s="948"/>
      <c r="N49" s="949"/>
      <c r="O49" s="74"/>
      <c r="P49" s="12"/>
      <c r="R49" s="741"/>
      <c r="T49" s="787" t="str">
        <f>IF(D49="","",VLOOKUP(D49,'9. All Habitats + Multipliers'!$C$4:$K$102,5,FALSE))</f>
        <v/>
      </c>
      <c r="U49" s="788"/>
      <c r="V49" s="94" t="str">
        <f>IF(T49="","",VLOOKUP(T49,'11. Lists'!$B$47:$D$49,2,FALSE))</f>
        <v/>
      </c>
      <c r="W49" s="93" t="str">
        <f t="shared" si="11"/>
        <v/>
      </c>
      <c r="X49" s="94" t="str">
        <f>IF(W49="","",VLOOKUP(W49,'11. Lists'!$F$47:$G$51,2,FALSE))</f>
        <v/>
      </c>
      <c r="Y49" s="372"/>
      <c r="Z49" s="343"/>
      <c r="AA49" s="507"/>
      <c r="AB49" s="93" t="str">
        <f t="shared" si="10"/>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c r="AI49" s="482" t="str">
        <v>1</v>
      </c>
      <c r="AJ49" s="157"/>
      <c r="AK49" s="157"/>
      <c r="AL49" s="157"/>
      <c r="AM49" s="157"/>
      <c r="AN49" s="157"/>
      <c r="AR49" s="157"/>
    </row>
    <row r="50" spans="1:73" s="25" customFormat="1" ht="15.6" x14ac:dyDescent="0.3">
      <c r="B50" s="264">
        <v>12</v>
      </c>
      <c r="C50" s="556" t="s">
        <v>249</v>
      </c>
      <c r="D50" s="73"/>
      <c r="E50" s="105" t="str">
        <f>IF(D50="","",VLOOKUP(D50,'10. Condition and Temporal'!$B$6:$D$103,3,FALSE))</f>
        <v/>
      </c>
      <c r="F50" s="702"/>
      <c r="G50" s="703"/>
      <c r="H50" s="71"/>
      <c r="I50" s="724"/>
      <c r="J50" s="725"/>
      <c r="K50" s="725"/>
      <c r="L50" s="947" t="str">
        <f t="shared" si="9"/>
        <v/>
      </c>
      <c r="M50" s="948"/>
      <c r="N50" s="949"/>
      <c r="O50" s="74"/>
      <c r="P50" s="12"/>
      <c r="R50" s="741"/>
      <c r="T50" s="787" t="str">
        <f>IF(D50="","",VLOOKUP(D50,'9. All Habitats + Multipliers'!$C$4:$K$102,5,FALSE))</f>
        <v/>
      </c>
      <c r="U50" s="788"/>
      <c r="V50" s="94" t="str">
        <f>IF(T50="","",VLOOKUP(T50,'11. Lists'!$B$47:$D$49,2,FALSE))</f>
        <v/>
      </c>
      <c r="W50" s="93" t="str">
        <f t="shared" si="11"/>
        <v/>
      </c>
      <c r="X50" s="94" t="str">
        <f>IF(W50="","",VLOOKUP(W50,'11. Lists'!$F$47:$G$51,2,FALSE))</f>
        <v/>
      </c>
      <c r="Y50" s="372"/>
      <c r="Z50" s="343"/>
      <c r="AA50" s="507"/>
      <c r="AB50" s="93" t="str">
        <f t="shared" si="10"/>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c r="AI50" s="482" t="str">
        <v>1</v>
      </c>
      <c r="AJ50" s="157"/>
      <c r="AK50" s="157"/>
      <c r="AL50" s="157"/>
      <c r="AM50" s="157"/>
      <c r="AN50" s="157"/>
    </row>
    <row r="51" spans="1:73" s="25" customFormat="1" ht="15.6" x14ac:dyDescent="0.3">
      <c r="B51" s="264">
        <v>13</v>
      </c>
      <c r="C51" s="556" t="s">
        <v>249</v>
      </c>
      <c r="D51" s="73"/>
      <c r="E51" s="105" t="str">
        <f>IF(D51="","",VLOOKUP(D51,'10. Condition and Temporal'!$B$6:$D$103,3,FALSE))</f>
        <v/>
      </c>
      <c r="F51" s="702"/>
      <c r="G51" s="703"/>
      <c r="H51" s="71"/>
      <c r="I51" s="724"/>
      <c r="J51" s="725"/>
      <c r="K51" s="725"/>
      <c r="L51" s="947" t="str">
        <f t="shared" si="9"/>
        <v/>
      </c>
      <c r="M51" s="948"/>
      <c r="N51" s="949"/>
      <c r="O51" s="74"/>
      <c r="P51" s="12"/>
      <c r="R51" s="741"/>
      <c r="T51" s="787" t="str">
        <f>IF(D51="","",VLOOKUP(D51,'9. All Habitats + Multipliers'!$C$4:$K$102,5,FALSE))</f>
        <v/>
      </c>
      <c r="U51" s="788"/>
      <c r="V51" s="94" t="str">
        <f>IF(T51="","",VLOOKUP(T51,'11. Lists'!$B$47:$D$49,2,FALSE))</f>
        <v/>
      </c>
      <c r="W51" s="93" t="str">
        <f t="shared" si="11"/>
        <v/>
      </c>
      <c r="X51" s="94" t="str">
        <f>IF(W51="","",VLOOKUP(W51,'11. Lists'!$F$47:$G$51,2,FALSE))</f>
        <v/>
      </c>
      <c r="Y51" s="372"/>
      <c r="Z51" s="343"/>
      <c r="AA51" s="507"/>
      <c r="AB51" s="93" t="str">
        <f t="shared" si="10"/>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c r="AI51" s="482" t="str">
        <v>1</v>
      </c>
      <c r="AJ51" s="157"/>
      <c r="AK51" s="157"/>
      <c r="AL51" s="157"/>
      <c r="AM51" s="157"/>
      <c r="AN51" s="157"/>
    </row>
    <row r="52" spans="1:73" s="25" customFormat="1" ht="15.6" x14ac:dyDescent="0.3">
      <c r="B52" s="264">
        <v>14</v>
      </c>
      <c r="C52" s="556" t="s">
        <v>249</v>
      </c>
      <c r="D52" s="73"/>
      <c r="E52" s="105" t="str">
        <f>IF(D52="","",VLOOKUP(D52,'10. Condition and Temporal'!$B$6:$D$103,3,FALSE))</f>
        <v/>
      </c>
      <c r="F52" s="702"/>
      <c r="G52" s="703"/>
      <c r="H52" s="71"/>
      <c r="I52" s="724"/>
      <c r="J52" s="725"/>
      <c r="K52" s="725"/>
      <c r="L52" s="947" t="str">
        <f t="shared" si="9"/>
        <v/>
      </c>
      <c r="M52" s="948"/>
      <c r="N52" s="949"/>
      <c r="O52" s="74"/>
      <c r="P52" s="12"/>
      <c r="R52" s="741"/>
      <c r="T52" s="787" t="str">
        <f>IF(D52="","",VLOOKUP(D52,'9. All Habitats + Multipliers'!$C$4:$K$102,5,FALSE))</f>
        <v/>
      </c>
      <c r="U52" s="788"/>
      <c r="V52" s="94" t="str">
        <f>IF(T52="","",VLOOKUP(T52,'11. Lists'!$B$47:$D$49,2,FALSE))</f>
        <v/>
      </c>
      <c r="W52" s="93" t="str">
        <f t="shared" si="11"/>
        <v/>
      </c>
      <c r="X52" s="94" t="str">
        <f>IF(W52="","",VLOOKUP(W52,'11. Lists'!$F$47:$G$51,2,FALSE))</f>
        <v/>
      </c>
      <c r="Y52" s="372"/>
      <c r="Z52" s="343"/>
      <c r="AA52" s="507"/>
      <c r="AB52" s="93" t="str">
        <f t="shared" si="10"/>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c r="AI52" s="482" t="str">
        <v>1</v>
      </c>
      <c r="AJ52" s="157"/>
      <c r="AK52" s="157"/>
      <c r="AL52" s="157"/>
      <c r="AM52" s="157"/>
      <c r="AN52" s="157"/>
    </row>
    <row r="53" spans="1:73" s="25" customFormat="1" ht="15.6" x14ac:dyDescent="0.3">
      <c r="B53" s="264">
        <v>15</v>
      </c>
      <c r="C53" s="556" t="s">
        <v>249</v>
      </c>
      <c r="D53" s="73"/>
      <c r="E53" s="105" t="str">
        <f>IF(D53="","",VLOOKUP(D53,'10. Condition and Temporal'!$B$6:$D$103,3,FALSE))</f>
        <v/>
      </c>
      <c r="F53" s="702"/>
      <c r="G53" s="703"/>
      <c r="H53" s="71"/>
      <c r="I53" s="724"/>
      <c r="J53" s="725"/>
      <c r="K53" s="725"/>
      <c r="L53" s="947" t="str">
        <f t="shared" si="9"/>
        <v/>
      </c>
      <c r="M53" s="948"/>
      <c r="N53" s="949"/>
      <c r="O53" s="74"/>
      <c r="P53" s="12"/>
      <c r="R53" s="741"/>
      <c r="T53" s="787" t="str">
        <f>IF(D53="","",VLOOKUP(D53,'9. All Habitats + Multipliers'!$C$4:$K$102,5,FALSE))</f>
        <v/>
      </c>
      <c r="U53" s="788"/>
      <c r="V53" s="94" t="str">
        <f>IF(T53="","",VLOOKUP(T53,'11. Lists'!$B$47:$D$49,2,FALSE))</f>
        <v/>
      </c>
      <c r="W53" s="93" t="str">
        <f t="shared" si="11"/>
        <v/>
      </c>
      <c r="X53" s="94" t="str">
        <f>IF(W53="","",VLOOKUP(W53,'11. Lists'!$F$47:$G$51,2,FALSE))</f>
        <v/>
      </c>
      <c r="Y53" s="372"/>
      <c r="Z53" s="343"/>
      <c r="AA53" s="507"/>
      <c r="AB53" s="93" t="str">
        <f t="shared" si="10"/>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c r="AI53" s="482" t="str">
        <v>1</v>
      </c>
      <c r="AJ53" s="157"/>
      <c r="AK53" s="157"/>
      <c r="AL53" s="157"/>
      <c r="AM53" s="157"/>
      <c r="AN53" s="157"/>
    </row>
    <row r="54" spans="1:73" s="25" customFormat="1" ht="15.6" x14ac:dyDescent="0.3">
      <c r="B54" s="264">
        <v>16</v>
      </c>
      <c r="C54" s="556" t="s">
        <v>249</v>
      </c>
      <c r="D54" s="73"/>
      <c r="E54" s="105" t="str">
        <f>IF(D54="","",VLOOKUP(D54,'10. Condition and Temporal'!$B$6:$D$103,3,FALSE))</f>
        <v/>
      </c>
      <c r="F54" s="702"/>
      <c r="G54" s="703"/>
      <c r="H54" s="71"/>
      <c r="I54" s="724"/>
      <c r="J54" s="725"/>
      <c r="K54" s="725"/>
      <c r="L54" s="947" t="str">
        <f t="shared" si="9"/>
        <v/>
      </c>
      <c r="M54" s="948"/>
      <c r="N54" s="949"/>
      <c r="O54" s="74"/>
      <c r="P54" s="12"/>
      <c r="R54" s="741"/>
      <c r="T54" s="787" t="str">
        <f>IF(D54="","",VLOOKUP(D54,'9. All Habitats + Multipliers'!$C$4:$K$102,5,FALSE))</f>
        <v/>
      </c>
      <c r="U54" s="788"/>
      <c r="V54" s="94" t="str">
        <f>IF(T54="","",VLOOKUP(T54,'11. Lists'!$B$47:$D$49,2,FALSE))</f>
        <v/>
      </c>
      <c r="W54" s="93" t="str">
        <f t="shared" si="11"/>
        <v/>
      </c>
      <c r="X54" s="94" t="str">
        <f>IF(W54="","",VLOOKUP(W54,'11. Lists'!$F$47:$G$51,2,FALSE))</f>
        <v/>
      </c>
      <c r="Y54" s="372"/>
      <c r="Z54" s="343"/>
      <c r="AA54" s="507"/>
      <c r="AB54" s="93" t="str">
        <f t="shared" si="10"/>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c r="AI54" s="482" t="str">
        <v>1</v>
      </c>
      <c r="AJ54" s="157"/>
      <c r="AK54" s="157"/>
      <c r="AL54" s="157"/>
      <c r="AM54" s="157"/>
      <c r="AN54" s="157"/>
    </row>
    <row r="55" spans="1:73" s="25" customFormat="1" ht="15.6" x14ac:dyDescent="0.3">
      <c r="B55" s="264">
        <v>17</v>
      </c>
      <c r="C55" s="556" t="s">
        <v>249</v>
      </c>
      <c r="D55" s="73"/>
      <c r="E55" s="105" t="str">
        <f>IF(D55="","",VLOOKUP(D55,'10. Condition and Temporal'!$B$6:$D$103,3,FALSE))</f>
        <v/>
      </c>
      <c r="F55" s="702"/>
      <c r="G55" s="703"/>
      <c r="H55" s="71"/>
      <c r="I55" s="724"/>
      <c r="J55" s="725"/>
      <c r="K55" s="725"/>
      <c r="L55" s="947" t="str">
        <f t="shared" si="9"/>
        <v/>
      </c>
      <c r="M55" s="948"/>
      <c r="N55" s="949"/>
      <c r="O55" s="74"/>
      <c r="P55" s="12"/>
      <c r="R55" s="741"/>
      <c r="T55" s="787" t="str">
        <f>IF(D55="","",VLOOKUP(D55,'9. All Habitats + Multipliers'!$C$4:$K$102,5,FALSE))</f>
        <v/>
      </c>
      <c r="U55" s="788"/>
      <c r="V55" s="94" t="str">
        <f>IF(T55="","",VLOOKUP(T55,'11. Lists'!$B$47:$D$49,2,FALSE))</f>
        <v/>
      </c>
      <c r="W55" s="93" t="str">
        <f t="shared" si="11"/>
        <v/>
      </c>
      <c r="X55" s="94" t="str">
        <f>IF(W55="","",VLOOKUP(W55,'11. Lists'!$F$47:$G$51,2,FALSE))</f>
        <v/>
      </c>
      <c r="Y55" s="372"/>
      <c r="Z55" s="343"/>
      <c r="AA55" s="507"/>
      <c r="AB55" s="93" t="str">
        <f t="shared" si="10"/>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c r="AI55" s="482" t="str">
        <v>1</v>
      </c>
      <c r="AJ55" s="157"/>
      <c r="AK55" s="157"/>
      <c r="AL55" s="157"/>
      <c r="AM55" s="157"/>
      <c r="AN55" s="157"/>
    </row>
    <row r="56" spans="1:73" s="25" customFormat="1" ht="15.6" x14ac:dyDescent="0.3">
      <c r="B56" s="264">
        <v>18</v>
      </c>
      <c r="C56" s="556" t="s">
        <v>249</v>
      </c>
      <c r="D56" s="73"/>
      <c r="E56" s="105" t="str">
        <f>IF(D56="","",VLOOKUP(D56,'10. Condition and Temporal'!$B$6:$D$103,3,FALSE))</f>
        <v/>
      </c>
      <c r="F56" s="702"/>
      <c r="G56" s="703"/>
      <c r="H56" s="71"/>
      <c r="I56" s="724"/>
      <c r="J56" s="725"/>
      <c r="K56" s="725"/>
      <c r="L56" s="947" t="str">
        <f t="shared" si="9"/>
        <v/>
      </c>
      <c r="M56" s="948"/>
      <c r="N56" s="949"/>
      <c r="O56" s="74"/>
      <c r="P56" s="12"/>
      <c r="R56" s="741"/>
      <c r="T56" s="787" t="str">
        <f>IF(D56="","",VLOOKUP(D56,'9. All Habitats + Multipliers'!$C$4:$K$102,5,FALSE))</f>
        <v/>
      </c>
      <c r="U56" s="788"/>
      <c r="V56" s="94" t="str">
        <f>IF(T56="","",VLOOKUP(T56,'11. Lists'!$B$47:$D$49,2,FALSE))</f>
        <v/>
      </c>
      <c r="W56" s="93" t="str">
        <f t="shared" si="11"/>
        <v/>
      </c>
      <c r="X56" s="94" t="str">
        <f>IF(W56="","",VLOOKUP(W56,'11. Lists'!$F$47:$G$51,2,FALSE))</f>
        <v/>
      </c>
      <c r="Y56" s="372"/>
      <c r="Z56" s="343"/>
      <c r="AA56" s="507"/>
      <c r="AB56" s="93" t="str">
        <f t="shared" si="10"/>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c r="AI56" s="482" t="str">
        <v>1</v>
      </c>
      <c r="AJ56" s="157"/>
      <c r="AK56" s="157"/>
      <c r="AL56" s="157"/>
      <c r="AM56" s="157"/>
      <c r="AN56" s="157"/>
    </row>
    <row r="57" spans="1:73" s="25" customFormat="1" ht="15.6" x14ac:dyDescent="0.3">
      <c r="B57" s="264">
        <v>19</v>
      </c>
      <c r="C57" s="556" t="s">
        <v>249</v>
      </c>
      <c r="D57" s="73"/>
      <c r="E57" s="105" t="str">
        <f>IF(D57="","",VLOOKUP(D57,'10. Condition and Temporal'!$B$6:$D$103,3,FALSE))</f>
        <v/>
      </c>
      <c r="F57" s="702"/>
      <c r="G57" s="703"/>
      <c r="H57" s="71"/>
      <c r="I57" s="724"/>
      <c r="J57" s="725"/>
      <c r="K57" s="725"/>
      <c r="L57" s="947" t="str">
        <f t="shared" si="9"/>
        <v/>
      </c>
      <c r="M57" s="948"/>
      <c r="N57" s="949"/>
      <c r="O57" s="74"/>
      <c r="P57" s="12"/>
      <c r="R57" s="741"/>
      <c r="T57" s="787" t="str">
        <f>IF(D57="","",VLOOKUP(D57,'9. All Habitats + Multipliers'!$C$4:$K$102,5,FALSE))</f>
        <v/>
      </c>
      <c r="U57" s="788"/>
      <c r="V57" s="94" t="str">
        <f>IF(T57="","",VLOOKUP(T57,'11. Lists'!$B$47:$D$49,2,FALSE))</f>
        <v/>
      </c>
      <c r="W57" s="93" t="str">
        <f t="shared" si="11"/>
        <v/>
      </c>
      <c r="X57" s="94" t="str">
        <f>IF(W57="","",VLOOKUP(W57,'11. Lists'!$F$47:$G$51,2,FALSE))</f>
        <v/>
      </c>
      <c r="Y57" s="372"/>
      <c r="Z57" s="343"/>
      <c r="AA57" s="507"/>
      <c r="AB57" s="93" t="str">
        <f t="shared" si="10"/>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c r="AI57" s="482" t="str">
        <v>1</v>
      </c>
      <c r="AJ57" s="157"/>
      <c r="AK57" s="157"/>
      <c r="AL57" s="157"/>
      <c r="AM57" s="157"/>
      <c r="AN57" s="157"/>
    </row>
    <row r="58" spans="1:73" s="25" customFormat="1" ht="16.2" thickBot="1" x14ac:dyDescent="0.35">
      <c r="B58" s="265">
        <v>20</v>
      </c>
      <c r="C58" s="557" t="s">
        <v>249</v>
      </c>
      <c r="D58" s="135"/>
      <c r="E58" s="136" t="str">
        <f>IF(D58="","",VLOOKUP(D58,'10. Condition and Temporal'!$B$6:$D$103,3,FALSE))</f>
        <v/>
      </c>
      <c r="F58" s="956"/>
      <c r="G58" s="957"/>
      <c r="H58" s="137"/>
      <c r="I58" s="969"/>
      <c r="J58" s="970"/>
      <c r="K58" s="970"/>
      <c r="L58" s="971" t="str">
        <f t="shared" si="9"/>
        <v/>
      </c>
      <c r="M58" s="963"/>
      <c r="N58" s="964"/>
      <c r="O58" s="75"/>
      <c r="P58" s="14"/>
      <c r="R58" s="741"/>
      <c r="T58" s="842" t="str">
        <f>IF(D58="","",VLOOKUP(D58,'9. All Habitats + Multipliers'!$C$4:$K$102,5,FALSE))</f>
        <v/>
      </c>
      <c r="U58" s="843"/>
      <c r="V58" s="99" t="str">
        <f>IF(T58="","",VLOOKUP(T58,'11. Lists'!$B$47:$D$49,2,FALSE))</f>
        <v/>
      </c>
      <c r="W58" s="98" t="str">
        <f t="shared" si="11"/>
        <v/>
      </c>
      <c r="X58" s="99" t="str">
        <f>IF(W58="","",VLOOKUP(W58,'11. Lists'!$F$47:$G$51,2,FALSE))</f>
        <v/>
      </c>
      <c r="Y58" s="372"/>
      <c r="Z58" s="343"/>
      <c r="AA58" s="507"/>
      <c r="AB58" s="98" t="str">
        <f t="shared" si="10"/>
        <v/>
      </c>
      <c r="AC58" s="100" t="str">
        <f>IF(AB58="","",VLOOKUP(AB58,'11. Lists'!$F$36:$H$38,2,FALSE))</f>
        <v/>
      </c>
      <c r="AD58" s="99" t="str">
        <f>IF(AB58="","",VLOOKUP(AB58,'11. Lists'!$F$36:$H$38,3,FALSE))</f>
        <v/>
      </c>
      <c r="AE58" s="98"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10" t="str">
        <f>IF(AE58="","",VLOOKUP(AE58,'11. Lists'!$I$47:$K$80,3,FALSE))</f>
        <v/>
      </c>
      <c r="AG58" s="98" t="str">
        <f>IF(D58="","",VLOOKUP(D58,'9. All Habitats + Multipliers'!$C$4:$K$102,7,FALSE))</f>
        <v/>
      </c>
      <c r="AH58" s="99" t="str">
        <f>IF(AG58="","",VLOOKUP(AG58,'11. Lists'!$J$35:$K$38,2,FALSE))</f>
        <v/>
      </c>
      <c r="AI58" s="483" t="str">
        <v>1</v>
      </c>
      <c r="AJ58" s="157"/>
      <c r="AK58" s="157"/>
      <c r="AL58" s="157"/>
      <c r="AM58" s="157"/>
      <c r="AN58" s="157"/>
    </row>
    <row r="59" spans="1:73" s="25" customFormat="1" ht="15" thickBot="1" x14ac:dyDescent="0.35">
      <c r="H59" s="269" t="s">
        <v>224</v>
      </c>
      <c r="I59" s="735">
        <f>SUM(I39:K58)</f>
        <v>0</v>
      </c>
      <c r="J59" s="736"/>
      <c r="K59" s="737"/>
      <c r="L59" s="870">
        <f>SUM(L39:N58)</f>
        <v>0</v>
      </c>
      <c r="M59" s="871"/>
      <c r="N59" s="872"/>
      <c r="R59" s="741"/>
      <c r="AJ59" s="157"/>
      <c r="AK59" s="157"/>
      <c r="AL59" s="157"/>
      <c r="AM59" s="157"/>
      <c r="AN59" s="157"/>
    </row>
    <row r="60" spans="1:73" s="25" customFormat="1" x14ac:dyDescent="0.3">
      <c r="R60" s="741"/>
      <c r="AJ60" s="157"/>
      <c r="AK60" s="157"/>
      <c r="AL60" s="157"/>
      <c r="AM60" s="157"/>
      <c r="AN60" s="157"/>
    </row>
    <row r="61" spans="1:73" s="25" customFormat="1" x14ac:dyDescent="0.3">
      <c r="R61" s="741"/>
      <c r="AJ61" s="157"/>
      <c r="AK61" s="157"/>
      <c r="AL61" s="157"/>
      <c r="AM61" s="157"/>
      <c r="AN61" s="157"/>
      <c r="BA61" s="50" t="s">
        <v>114</v>
      </c>
    </row>
    <row r="62" spans="1:73" s="25" customFormat="1" ht="21" x14ac:dyDescent="0.4">
      <c r="B62" s="57" t="s">
        <v>115</v>
      </c>
      <c r="D62" s="88"/>
      <c r="H62" s="26"/>
      <c r="R62" s="741"/>
      <c r="AJ62" s="157"/>
      <c r="AK62" s="157"/>
      <c r="AL62" s="157"/>
      <c r="AM62" s="157"/>
      <c r="AN62" s="157"/>
      <c r="BA62" s="50" t="s">
        <v>116</v>
      </c>
    </row>
    <row r="63" spans="1:73" s="25" customFormat="1" ht="15" thickBot="1" x14ac:dyDescent="0.35">
      <c r="A63" s="912"/>
      <c r="R63" s="741"/>
      <c r="AJ63" s="157"/>
      <c r="AK63" s="157"/>
      <c r="AL63" s="157"/>
      <c r="AM63" s="157"/>
      <c r="AN63" s="157"/>
      <c r="BA63" s="972" t="s">
        <v>129</v>
      </c>
    </row>
    <row r="64" spans="1:73" s="25" customFormat="1" ht="16.2" customHeight="1" thickBot="1" x14ac:dyDescent="0.35">
      <c r="A64" s="912"/>
      <c r="B64" s="833" t="s">
        <v>117</v>
      </c>
      <c r="C64" s="684" t="s">
        <v>118</v>
      </c>
      <c r="D64" s="686"/>
      <c r="E64" s="708" t="s">
        <v>252</v>
      </c>
      <c r="F64" s="718"/>
      <c r="G64" s="710"/>
      <c r="H64" s="727" t="s">
        <v>120</v>
      </c>
      <c r="I64" s="727" t="s">
        <v>253</v>
      </c>
      <c r="J64" s="850" t="s">
        <v>122</v>
      </c>
      <c r="K64" s="850"/>
      <c r="L64" s="684" t="s">
        <v>123</v>
      </c>
      <c r="M64" s="685" t="s">
        <v>124</v>
      </c>
      <c r="N64" s="686"/>
      <c r="O64" s="819" t="s">
        <v>65</v>
      </c>
      <c r="P64" s="687"/>
      <c r="R64" s="741"/>
      <c r="T64" s="847" t="s">
        <v>125</v>
      </c>
      <c r="U64" s="848"/>
      <c r="V64" s="848"/>
      <c r="W64" s="848"/>
      <c r="X64" s="848"/>
      <c r="Y64" s="848"/>
      <c r="Z64" s="848"/>
      <c r="AA64" s="848"/>
      <c r="AB64" s="848"/>
      <c r="AC64" s="848"/>
      <c r="AD64" s="849"/>
      <c r="AE64" s="727" t="s">
        <v>126</v>
      </c>
      <c r="AF64" s="847" t="s">
        <v>127</v>
      </c>
      <c r="AG64" s="848"/>
      <c r="AH64" s="848"/>
      <c r="AI64" s="848"/>
      <c r="AJ64" s="848"/>
      <c r="AK64" s="848"/>
      <c r="AL64" s="848"/>
      <c r="AM64" s="848"/>
      <c r="AN64" s="848"/>
      <c r="AO64" s="848"/>
      <c r="AP64" s="849"/>
      <c r="AQ64" s="729" t="s">
        <v>128</v>
      </c>
      <c r="AR64" s="847" t="s">
        <v>127</v>
      </c>
      <c r="AS64" s="848"/>
      <c r="AT64" s="848"/>
      <c r="AU64" s="848"/>
      <c r="AV64" s="849"/>
      <c r="BA64" s="972"/>
      <c r="BB64" s="546">
        <f>COUNTIF(BB66:BB85,"?*")</f>
        <v>0</v>
      </c>
      <c r="BC64" s="185">
        <f t="shared" ref="BC64:BU64" si="12">COUNTIF(BC66:BC85,"?*")</f>
        <v>0</v>
      </c>
      <c r="BD64" s="185">
        <f t="shared" si="12"/>
        <v>0</v>
      </c>
      <c r="BE64" s="185">
        <f t="shared" si="12"/>
        <v>0</v>
      </c>
      <c r="BF64" s="185">
        <f t="shared" si="12"/>
        <v>0</v>
      </c>
      <c r="BG64" s="185">
        <f t="shared" si="12"/>
        <v>0</v>
      </c>
      <c r="BH64" s="185">
        <f t="shared" si="12"/>
        <v>0</v>
      </c>
      <c r="BI64" s="185">
        <f t="shared" si="12"/>
        <v>0</v>
      </c>
      <c r="BJ64" s="185">
        <f t="shared" si="12"/>
        <v>0</v>
      </c>
      <c r="BK64" s="185">
        <f t="shared" si="12"/>
        <v>0</v>
      </c>
      <c r="BL64" s="185">
        <f t="shared" si="12"/>
        <v>0</v>
      </c>
      <c r="BM64" s="185">
        <f t="shared" si="12"/>
        <v>0</v>
      </c>
      <c r="BN64" s="185">
        <f t="shared" si="12"/>
        <v>0</v>
      </c>
      <c r="BO64" s="185">
        <f t="shared" si="12"/>
        <v>0</v>
      </c>
      <c r="BP64" s="185">
        <f t="shared" si="12"/>
        <v>0</v>
      </c>
      <c r="BQ64" s="185">
        <f t="shared" si="12"/>
        <v>0</v>
      </c>
      <c r="BR64" s="185">
        <f t="shared" si="12"/>
        <v>0</v>
      </c>
      <c r="BS64" s="185">
        <f t="shared" si="12"/>
        <v>0</v>
      </c>
      <c r="BT64" s="185">
        <f t="shared" si="12"/>
        <v>0</v>
      </c>
      <c r="BU64" s="185">
        <f t="shared" si="12"/>
        <v>0</v>
      </c>
    </row>
    <row r="65" spans="1:76" s="25" customFormat="1" ht="45.6" customHeight="1" thickBot="1" x14ac:dyDescent="0.35">
      <c r="A65" s="912"/>
      <c r="B65" s="965"/>
      <c r="C65" s="425" t="s">
        <v>130</v>
      </c>
      <c r="D65" s="394" t="s">
        <v>131</v>
      </c>
      <c r="E65" s="392" t="s">
        <v>132</v>
      </c>
      <c r="F65" s="966" t="s">
        <v>133</v>
      </c>
      <c r="G65" s="967"/>
      <c r="H65" s="950"/>
      <c r="I65" s="950"/>
      <c r="J65" s="951"/>
      <c r="K65" s="951"/>
      <c r="L65" s="958"/>
      <c r="M65" s="959"/>
      <c r="N65" s="960"/>
      <c r="O65" s="395" t="s">
        <v>80</v>
      </c>
      <c r="P65" s="394" t="s">
        <v>81</v>
      </c>
      <c r="R65" s="741"/>
      <c r="T65" s="176" t="s">
        <v>134</v>
      </c>
      <c r="U65" s="111" t="s">
        <v>135</v>
      </c>
      <c r="V65" s="112" t="s">
        <v>136</v>
      </c>
      <c r="W65" s="368" t="s">
        <v>137</v>
      </c>
      <c r="X65" s="357" t="s">
        <v>138</v>
      </c>
      <c r="Y65" s="366"/>
      <c r="Z65" s="366"/>
      <c r="AA65" s="366"/>
      <c r="AB65" s="358" t="s">
        <v>139</v>
      </c>
      <c r="AC65" s="367" t="s">
        <v>140</v>
      </c>
      <c r="AD65" s="112" t="s">
        <v>141</v>
      </c>
      <c r="AE65" s="976"/>
      <c r="AF65" s="333" t="s">
        <v>134</v>
      </c>
      <c r="AG65" s="351" t="s">
        <v>82</v>
      </c>
      <c r="AH65" s="350" t="s">
        <v>83</v>
      </c>
      <c r="AI65" s="351" t="s">
        <v>84</v>
      </c>
      <c r="AJ65" s="467" t="s">
        <v>83</v>
      </c>
      <c r="AK65" s="468"/>
      <c r="AL65" s="468"/>
      <c r="AM65" s="468"/>
      <c r="AN65" s="467" t="s">
        <v>68</v>
      </c>
      <c r="AO65" s="353" t="s">
        <v>68</v>
      </c>
      <c r="AP65" s="350" t="s">
        <v>85</v>
      </c>
      <c r="AQ65" s="975"/>
      <c r="AR65" s="350" t="s">
        <v>142</v>
      </c>
      <c r="AS65" s="351" t="s">
        <v>143</v>
      </c>
      <c r="AT65" s="350" t="s">
        <v>144</v>
      </c>
      <c r="AU65" s="352" t="s">
        <v>145</v>
      </c>
      <c r="AV65" s="350" t="s">
        <v>146</v>
      </c>
      <c r="AW65" s="181" t="s">
        <v>147</v>
      </c>
      <c r="AX65" s="480" t="s">
        <v>148</v>
      </c>
      <c r="AY65" s="481" t="s">
        <v>254</v>
      </c>
      <c r="BA65" s="83" t="s">
        <v>150</v>
      </c>
      <c r="BB65" s="169">
        <v>1</v>
      </c>
      <c r="BC65" s="169">
        <v>2</v>
      </c>
      <c r="BD65" s="169">
        <v>3</v>
      </c>
      <c r="BE65" s="169">
        <v>4</v>
      </c>
      <c r="BF65" s="169">
        <v>5</v>
      </c>
      <c r="BG65" s="169">
        <v>6</v>
      </c>
      <c r="BH65" s="169">
        <v>7</v>
      </c>
      <c r="BI65" s="169">
        <v>8</v>
      </c>
      <c r="BJ65" s="169">
        <v>9</v>
      </c>
      <c r="BK65" s="169">
        <v>10</v>
      </c>
      <c r="BL65" s="169">
        <v>11</v>
      </c>
      <c r="BM65" s="169">
        <v>12</v>
      </c>
      <c r="BN65" s="169">
        <v>13</v>
      </c>
      <c r="BO65" s="169">
        <v>14</v>
      </c>
      <c r="BP65" s="169">
        <v>15</v>
      </c>
      <c r="BQ65" s="169">
        <v>16</v>
      </c>
      <c r="BR65" s="169">
        <v>17</v>
      </c>
      <c r="BS65" s="169">
        <v>18</v>
      </c>
      <c r="BT65" s="169">
        <v>19</v>
      </c>
      <c r="BU65" s="169">
        <v>20</v>
      </c>
      <c r="BV65" s="183" t="s">
        <v>151</v>
      </c>
      <c r="BW65" s="169" t="s">
        <v>152</v>
      </c>
      <c r="BX65" s="169" t="s">
        <v>153</v>
      </c>
    </row>
    <row r="66" spans="1:76" s="25" customFormat="1" ht="15.6" x14ac:dyDescent="0.3">
      <c r="B66" s="270">
        <v>1</v>
      </c>
      <c r="C66" s="415" t="str">
        <f t="shared" ref="C66:C85" si="13">IF(D66="","",C11)</f>
        <v/>
      </c>
      <c r="D66" s="416" t="str">
        <f>IF(OR(K11="", K11=0),"",D11)</f>
        <v/>
      </c>
      <c r="E66" s="417" t="str">
        <f t="shared" ref="E66:E85" si="14">IF(AX66="","",AX66)</f>
        <v/>
      </c>
      <c r="F66" s="882"/>
      <c r="G66" s="883"/>
      <c r="H66" s="418" t="str">
        <f t="shared" ref="H66:H85" si="15">IF(D66="","",AB66)</f>
        <v/>
      </c>
      <c r="I66" s="423" t="str">
        <f>IF(OR(K11="",K11=0),"",K11)</f>
        <v/>
      </c>
      <c r="J66" s="954" t="str">
        <f>IF(F66="","",VLOOKUP(F66,'10. Condition and Temporal'!$B$6:$F$103,5,FALSE))</f>
        <v/>
      </c>
      <c r="K66" s="955"/>
      <c r="L66" s="295" t="str">
        <f>IFERROR(IF(D66="","",IF(AX66="Distinctiveness",(((((I66*AH66*AJ66*AY66)-(I66*V66*X66))*(AV66*AT66))+(I66*V66*X66))*AP66)/1000,((((I66*AH66*AJ66*AY66)-(I66*V66*X66*AJ11))*(AV66*AR66))+(I66*V66*X66*AJ11))*AP66/1000)),"This intervention is not permitted within the SSM ▲")</f>
        <v/>
      </c>
      <c r="M66" s="903" t="str">
        <f>IFERROR(IF(F66="","",L66-AD66), "Error ▲")</f>
        <v/>
      </c>
      <c r="N66" s="904"/>
      <c r="O66" s="217"/>
      <c r="P66" s="142"/>
      <c r="R66" s="741"/>
      <c r="T66" s="177" t="str">
        <f t="shared" ref="T66:T85" si="16">IF(D66="","",K11)</f>
        <v/>
      </c>
      <c r="U66" s="114" t="str">
        <f>IF($D66="","",T11)</f>
        <v/>
      </c>
      <c r="V66" s="115" t="str">
        <f t="shared" ref="V66:X85" si="17">IF($D66="","",V11)</f>
        <v/>
      </c>
      <c r="W66" s="113" t="str">
        <f t="shared" si="17"/>
        <v/>
      </c>
      <c r="X66" s="93" t="str">
        <f t="shared" si="17"/>
        <v/>
      </c>
      <c r="Y66" s="343"/>
      <c r="Z66" s="343"/>
      <c r="AA66" s="343"/>
      <c r="AB66" s="94" t="str">
        <f t="shared" ref="AB66:AB85" si="18">IF($D66="","",AB11)</f>
        <v/>
      </c>
      <c r="AC66" s="117" t="str">
        <f t="shared" ref="AC66:AC85" si="19">IF($D66="","",AD11)</f>
        <v/>
      </c>
      <c r="AD66" s="115" t="str">
        <f>IF(AC66="","",((T66*V66*X66)*AC66*AJ11)/1000)</f>
        <v/>
      </c>
      <c r="AE66" s="179" t="str">
        <f>IF(AD66="","",IF(AH66&lt;V66,"Not Acceptable","Acceptable"))</f>
        <v/>
      </c>
      <c r="AF66" s="113" t="str">
        <f t="shared" ref="AF66:AF85" si="20">IF(D66="","",I66)</f>
        <v/>
      </c>
      <c r="AG66" s="114" t="str">
        <f>IF(D66="","",VLOOKUP(F66,'9. All Habitats + Multipliers'!$C$4:$K$102,5,FALSE))</f>
        <v/>
      </c>
      <c r="AH66" s="115" t="str">
        <f>IF(AG66="","",VLOOKUP(AG66,'11. Lists'!$B$47:$D$49,2,FALSE))</f>
        <v/>
      </c>
      <c r="AI66" s="114" t="str">
        <f t="shared" ref="AI66:AI85" si="21">IF(D66="","",J66)</f>
        <v/>
      </c>
      <c r="AJ66" s="477" t="str">
        <f>IF(AI66="","",VLOOKUP(AI66,'11. Lists'!$F$47:$G$51,2,FALSE))</f>
        <v/>
      </c>
      <c r="AK66" s="478"/>
      <c r="AL66" s="478"/>
      <c r="AM66" s="478"/>
      <c r="AN66" s="477" t="str">
        <f t="shared" ref="AN66:AN85" si="22">IF(H66="","",H66)</f>
        <v/>
      </c>
      <c r="AO66" s="116" t="str">
        <f>IF(AN66="","",VLOOKUP(AN66,'11. Lists'!$F$36:$H$38,2,FALSE))</f>
        <v/>
      </c>
      <c r="AP66" s="115" t="str">
        <f>IF(AN66="","",VLOOKUP(AN66,'11. Lists'!$F$36:$H$38,3,FALSE))</f>
        <v/>
      </c>
      <c r="AQ66" s="114" t="str">
        <f>IF(D66="","",IF(AX66="Distinctiveness","N/A",VLOOKUP(F66,'10. Condition and Temporal'!$B$6:$L$103,11,FALSE)))</f>
        <v/>
      </c>
      <c r="AR66" s="118" t="str">
        <f>IF(AQ66="","",IF(AQ66="N/A","1",VLOOKUP(AQ66,'11. Lists'!$I$47:$K$80,3,FALSE)))</f>
        <v/>
      </c>
      <c r="AS66" s="134" t="str">
        <f>IF(D66="","",IF(AX66="Condition","N/A",VLOOKUP(F66,'10. Condition and Temporal'!$B$6:$M$106,12,FALSE)))</f>
        <v/>
      </c>
      <c r="AT66" s="118" t="str">
        <f>IF(AS66="","",IF(AS66="N/A","1",VLOOKUP(AS66,'11. Lists'!$I$47:$K$80,3,FALSE)))</f>
        <v/>
      </c>
      <c r="AU66" s="117" t="str">
        <f>IF(D66="","",VLOOKUP(F66,'9. All Habitats + Multipliers'!$C$4:$K$102,8,FALSE))</f>
        <v/>
      </c>
      <c r="AV66" s="115" t="str">
        <f>IF(AU66="","",VLOOKUP(AU66,'11. Lists'!$J$35:$K$38,2,FALSE))</f>
        <v/>
      </c>
      <c r="AW66" s="114" t="str">
        <f>IF(D66="","",VLOOKUP(D66,'10. Condition and Temporal'!$B$6:$M$103,4,FALSE))</f>
        <v/>
      </c>
      <c r="AX66" s="459" t="str">
        <f t="shared" ref="AX66:AX85" si="23">IF(F66="","",IF(D66=F66,"Condition","Distinctiveness"))</f>
        <v/>
      </c>
      <c r="AY66" s="482" t="str" cm="1">
        <f t="array" ref="AY66:AZ85">IF($F$66:$G$85="Culvert","0.68","1")</f>
        <v>1</v>
      </c>
      <c r="AZ66" s="479" t="str">
        <v>1</v>
      </c>
      <c r="BA66" s="93">
        <v>1</v>
      </c>
      <c r="BB66" s="95" t="str">
        <f t="shared" ref="BB66:BB85" si="24">TRIM(MID(SUBSTITUTE($AW$66,$BA$62,REPT(" ",LEN($AW$66))),($BA66-1)*LEN($AW$66)+1,LEN($AW$66)))</f>
        <v/>
      </c>
      <c r="BC66" s="95" t="str">
        <f t="shared" ref="BC66:BC85" si="25">TRIM(MID(SUBSTITUTE($AW$67,$BA$62,REPT(" ",LEN($AW$67))),($BA66-1)*LEN($AW$67)+1,LEN($AW$67)))</f>
        <v/>
      </c>
      <c r="BD66" s="95" t="str">
        <f t="shared" ref="BD66:BD85" si="26">TRIM(MID(SUBSTITUTE($AW$68,$BA$62,REPT(" ",LEN($AW$68))),($BA66-1)*LEN($AW$68)+1,LEN($AW$68)))</f>
        <v/>
      </c>
      <c r="BE66" s="95" t="str">
        <f t="shared" ref="BE66:BE85" si="27">TRIM(MID(SUBSTITUTE($AW$69,$BA$62,REPT(" ",LEN($AW$69))),($BA66-1)*LEN($AW$69)+1,LEN($AW$69)))</f>
        <v/>
      </c>
      <c r="BF66" s="95" t="str">
        <f t="shared" ref="BF66:BF85" si="28">TRIM(MID(SUBSTITUTE($AW$70,$BA$62,REPT(" ",LEN($AW$70))),($BA66-1)*LEN($AW$70)+1,LEN($AW$70)))</f>
        <v/>
      </c>
      <c r="BG66" s="95" t="str">
        <f t="shared" ref="BG66:BG85" si="29">TRIM(MID(SUBSTITUTE($AW$71,$BA$62,REPT(" ",LEN($AW$71))),($BA66-1)*LEN($AW$71)+1,LEN($AW$71)))</f>
        <v/>
      </c>
      <c r="BH66" s="95" t="str">
        <f t="shared" ref="BH66:BH85" si="30">TRIM(MID(SUBSTITUTE($AW$72,$BA$62,REPT(" ",LEN($AW$72))),($BA66-1)*LEN($AW$72)+1,LEN($AW$72)))</f>
        <v/>
      </c>
      <c r="BI66" s="95" t="str">
        <f t="shared" ref="BI66:BI85" si="31">TRIM(MID(SUBSTITUTE($AW$73,$BA$62,REPT(" ",LEN($AW$73))),($BA66-1)*LEN($AW$73)+1,LEN($AW$73)))</f>
        <v/>
      </c>
      <c r="BJ66" s="95" t="str">
        <f t="shared" ref="BJ66:BJ85" si="32">TRIM(MID(SUBSTITUTE($AW$74,$BA$62,REPT(" ",LEN($AW$74))),($BA66-1)*LEN($AW$74)+1,LEN($AW$74)))</f>
        <v/>
      </c>
      <c r="BK66" s="95" t="str">
        <f t="shared" ref="BK66:BK85" si="33">TRIM(MID(SUBSTITUTE($AW$75,$BA$62,REPT(" ",LEN($AW$75))),($BA66-1)*LEN($AW$75)+1,LEN($AW$75)))</f>
        <v/>
      </c>
      <c r="BL66" s="95" t="str">
        <f t="shared" ref="BL66:BL85" si="34">TRIM(MID(SUBSTITUTE($AW$76,$BA$62,REPT(" ",LEN($AW$76))),($BA66-1)*LEN($AW$76)+1,LEN($AW$76)))</f>
        <v/>
      </c>
      <c r="BM66" s="95" t="str">
        <f t="shared" ref="BM66:BM85" si="35">TRIM(MID(SUBSTITUTE($AW$77,$BA$62,REPT(" ",LEN($AW$77))),($BA66-1)*LEN($AW$77)+1,LEN($AW$77)))</f>
        <v/>
      </c>
      <c r="BN66" s="95" t="str">
        <f t="shared" ref="BN66:BN85" si="36">TRIM(MID(SUBSTITUTE($AW$78,$BA$62,REPT(" ",LEN($AW$78))),($BA66-1)*LEN($AW$78)+1,LEN($AW$78)))</f>
        <v/>
      </c>
      <c r="BO66" s="95" t="str">
        <f t="shared" ref="BO66:BO85" si="37">TRIM(MID(SUBSTITUTE($AW$79,$BA$62,REPT(" ",LEN($AW$79))),($BA66-1)*LEN($AW$79)+1,LEN($AW$79)))</f>
        <v/>
      </c>
      <c r="BP66" s="95" t="str">
        <f t="shared" ref="BP66:BP85" si="38">TRIM(MID(SUBSTITUTE($AW$80,$BA$62,REPT(" ",LEN($AW$80))),($BA66-1)*LEN($AW$80)+1,LEN($AW$80)))</f>
        <v/>
      </c>
      <c r="BQ66" s="95" t="str">
        <f t="shared" ref="BQ66:BQ85" si="39">TRIM(MID(SUBSTITUTE($AW$81,$BA$62,REPT(" ",LEN($AW$81))),($BA66-1)*LEN($AW$81)+1,LEN($AW$81)))</f>
        <v/>
      </c>
      <c r="BR66" s="95" t="str">
        <f t="shared" ref="BR66:BR85" si="40">TRIM(MID(SUBSTITUTE($AW$82,$BA$62,REPT(" ",LEN($AW$82))),($BA66-1)*LEN($AW$82)+1,LEN($AW$82)))</f>
        <v/>
      </c>
      <c r="BS66" s="95" t="str">
        <f t="shared" ref="BS66:BS85" si="41">TRIM(MID(SUBSTITUTE($AW$83,$BA$62,REPT(" ",LEN($AW$83))),($BA66-1)*LEN($AW$83)+1,LEN($AW$83)))</f>
        <v/>
      </c>
      <c r="BT66" s="95" t="str">
        <f t="shared" ref="BT66:BT85" si="42">TRIM(MID(SUBSTITUTE($AW$84,$BA$62,REPT(" ",LEN($AW$84))),($BA66-1)*LEN($AW$84)+1,LEN($AW$84)))</f>
        <v/>
      </c>
      <c r="BU66" s="94" t="str">
        <f t="shared" ref="BU66:BU85" si="43">TRIM(MID(SUBSTITUTE($AW$85,$BA$62,REPT(" ",LEN($AW$85))),($BA66-1)*LEN($AW$85)+1,LEN($AW$85)))</f>
        <v/>
      </c>
      <c r="BV66" s="184" t="str">
        <f>IF(BX66=0,"",CONCATENATE(BW66,"66:",BW66,BX66+65))</f>
        <v/>
      </c>
      <c r="BW66" s="95" t="s">
        <v>154</v>
      </c>
      <c r="BX66" s="95">
        <f>BB64</f>
        <v>0</v>
      </c>
    </row>
    <row r="67" spans="1:76" s="25" customFormat="1" ht="15.6" x14ac:dyDescent="0.3">
      <c r="B67" s="264">
        <v>2</v>
      </c>
      <c r="C67" s="119" t="str">
        <f t="shared" si="13"/>
        <v/>
      </c>
      <c r="D67" s="208" t="str">
        <f t="shared" ref="D67:D85" si="44">IF(OR(K12="", K12=0),"",D12)</f>
        <v/>
      </c>
      <c r="E67" s="166" t="str">
        <f t="shared" si="14"/>
        <v/>
      </c>
      <c r="F67" s="826"/>
      <c r="G67" s="827"/>
      <c r="H67" s="163" t="str">
        <f t="shared" si="15"/>
        <v/>
      </c>
      <c r="I67" s="317" t="str">
        <f t="shared" ref="I67:I85" si="45">IF(OR(K12="",K12=0),"",K12)</f>
        <v/>
      </c>
      <c r="J67" s="952" t="str">
        <f>IF(F67="","",VLOOKUP(F67,'10. Condition and Temporal'!$B$6:$F$103,5,FALSE))</f>
        <v/>
      </c>
      <c r="K67" s="953"/>
      <c r="L67" s="294" t="str">
        <f t="shared" ref="L67:L85" si="46">IFERROR(IF(D67="","",IF(AX67="Distinctiveness",(((((I67*AH67*AJ67*AY67)-(I67*V67*X67))*(AV67*AT67))+(I67*V67*X67))*AP67)/1000,((((I67*AH67*AJ67*AY67)-(I67*V67*X67*AJ12))*(AV67*AR67))+(I67*V67*X67*AJ12))*AP67/1000)),"This intervention is not permitted within the SSM ▲")</f>
        <v/>
      </c>
      <c r="M67" s="948" t="str">
        <f t="shared" ref="M67:M85" si="47">IFERROR(IF(F67="","",L67-AD67), "Error ▲")</f>
        <v/>
      </c>
      <c r="N67" s="949"/>
      <c r="O67" s="74"/>
      <c r="P67" s="12"/>
      <c r="R67" s="741"/>
      <c r="T67" s="177" t="str">
        <f t="shared" si="16"/>
        <v/>
      </c>
      <c r="U67" s="114" t="str">
        <f t="shared" ref="U67:U85" si="48">IF($D67="","",T12)</f>
        <v/>
      </c>
      <c r="V67" s="115" t="str">
        <f t="shared" si="17"/>
        <v/>
      </c>
      <c r="W67" s="113" t="str">
        <f t="shared" si="17"/>
        <v/>
      </c>
      <c r="X67" s="93" t="str">
        <f t="shared" si="17"/>
        <v/>
      </c>
      <c r="Y67" s="343"/>
      <c r="Z67" s="343"/>
      <c r="AA67" s="343"/>
      <c r="AB67" s="94" t="str">
        <f t="shared" si="18"/>
        <v/>
      </c>
      <c r="AC67" s="117" t="str">
        <f t="shared" si="19"/>
        <v/>
      </c>
      <c r="AD67" s="115" t="str">
        <f t="shared" ref="AD67:AD85" si="49">IF(AC67="","",((T67*V67*X67)*AC67*AJ12)/1000)</f>
        <v/>
      </c>
      <c r="AE67" s="179" t="str">
        <f t="shared" ref="AE67:AE85" si="50">IF(AD67="","",IF(AH67&lt;V67,"Not Acceptable","Acceptable"))</f>
        <v/>
      </c>
      <c r="AF67" s="113" t="str">
        <f t="shared" si="20"/>
        <v/>
      </c>
      <c r="AG67" s="114" t="str">
        <f>IF(D67="","",VLOOKUP(F67,'9. All Habitats + Multipliers'!$C$4:$K$102,5,FALSE))</f>
        <v/>
      </c>
      <c r="AH67" s="115" t="str">
        <f>IF(AG67="","",VLOOKUP(AG67,'11. Lists'!$B$47:$D$49,2,FALSE))</f>
        <v/>
      </c>
      <c r="AI67" s="114" t="str">
        <f t="shared" si="21"/>
        <v/>
      </c>
      <c r="AJ67" s="477" t="str">
        <f>IF(AI67="","",VLOOKUP(AI67,'11. Lists'!$F$47:$G$51,2,FALSE))</f>
        <v/>
      </c>
      <c r="AK67" s="478"/>
      <c r="AL67" s="478"/>
      <c r="AM67" s="478"/>
      <c r="AN67" s="477" t="str">
        <f t="shared" si="22"/>
        <v/>
      </c>
      <c r="AO67" s="116" t="str">
        <f>IF(AN67="","",VLOOKUP(AN67,'11. Lists'!$F$36:$H$38,2,FALSE))</f>
        <v/>
      </c>
      <c r="AP67" s="115" t="str">
        <f>IF(AN67="","",VLOOKUP(AN67,'11. Lists'!$F$36:$H$38,3,FALSE))</f>
        <v/>
      </c>
      <c r="AQ67" s="114" t="str">
        <f>IF(D67="","",IF(AX67="Distinctiveness","N/A",VLOOKUP(F67,'10. Condition and Temporal'!$B$6:$L$103,11,FALSE)))</f>
        <v/>
      </c>
      <c r="AR67" s="118" t="str">
        <f>IF(AQ67="","",IF(AQ67="N/A","1",VLOOKUP(AQ67,'11. Lists'!$I$47:$K$80,3,FALSE)))</f>
        <v/>
      </c>
      <c r="AS67" s="134" t="str">
        <f>IF(D67="","",IF(AX67="Condition","N/A",VLOOKUP(F67,'10. Condition and Temporal'!$B$6:$M$106,12,FALSE)))</f>
        <v/>
      </c>
      <c r="AT67" s="118" t="str">
        <f>IF(AS67="","",IF(AS67="N/A","1",VLOOKUP(AS67,'11. Lists'!$I$47:$K$80,3,FALSE)))</f>
        <v/>
      </c>
      <c r="AU67" s="117" t="str">
        <f>IF(D67="","",VLOOKUP(F67,'9. All Habitats + Multipliers'!$C$4:$K$102,8,FALSE))</f>
        <v/>
      </c>
      <c r="AV67" s="115" t="str">
        <f>IF(AU67="","",VLOOKUP(AU67,'11. Lists'!$J$35:$K$38,2,FALSE))</f>
        <v/>
      </c>
      <c r="AW67" s="114" t="str">
        <f>IF(D67="","",VLOOKUP(D67,'10. Condition and Temporal'!$B$6:$M$103,4,FALSE))</f>
        <v/>
      </c>
      <c r="AX67" s="459" t="str">
        <f t="shared" si="23"/>
        <v/>
      </c>
      <c r="AY67" s="482" t="str">
        <v>1</v>
      </c>
      <c r="AZ67" s="479" t="str">
        <v>1</v>
      </c>
      <c r="BA67" s="93">
        <v>2</v>
      </c>
      <c r="BB67" s="95" t="str">
        <f t="shared" si="24"/>
        <v/>
      </c>
      <c r="BC67" s="95" t="str">
        <f t="shared" si="25"/>
        <v/>
      </c>
      <c r="BD67" s="95" t="str">
        <f t="shared" si="26"/>
        <v/>
      </c>
      <c r="BE67" s="95" t="str">
        <f t="shared" si="27"/>
        <v/>
      </c>
      <c r="BF67" s="95" t="str">
        <f t="shared" si="28"/>
        <v/>
      </c>
      <c r="BG67" s="95" t="str">
        <f t="shared" si="29"/>
        <v/>
      </c>
      <c r="BH67" s="95" t="str">
        <f t="shared" si="30"/>
        <v/>
      </c>
      <c r="BI67" s="95" t="str">
        <f t="shared" si="31"/>
        <v/>
      </c>
      <c r="BJ67" s="95" t="str">
        <f t="shared" si="32"/>
        <v/>
      </c>
      <c r="BK67" s="95" t="str">
        <f t="shared" si="33"/>
        <v/>
      </c>
      <c r="BL67" s="95" t="str">
        <f t="shared" si="34"/>
        <v/>
      </c>
      <c r="BM67" s="95" t="str">
        <f t="shared" si="35"/>
        <v/>
      </c>
      <c r="BN67" s="95" t="str">
        <f t="shared" si="36"/>
        <v/>
      </c>
      <c r="BO67" s="95" t="str">
        <f t="shared" si="37"/>
        <v/>
      </c>
      <c r="BP67" s="95" t="str">
        <f t="shared" si="38"/>
        <v/>
      </c>
      <c r="BQ67" s="95" t="str">
        <f t="shared" si="39"/>
        <v/>
      </c>
      <c r="BR67" s="95" t="str">
        <f t="shared" si="40"/>
        <v/>
      </c>
      <c r="BS67" s="95" t="str">
        <f t="shared" si="41"/>
        <v/>
      </c>
      <c r="BT67" s="95" t="str">
        <f t="shared" si="42"/>
        <v/>
      </c>
      <c r="BU67" s="94" t="str">
        <f t="shared" si="43"/>
        <v/>
      </c>
      <c r="BV67" s="184" t="str">
        <f t="shared" ref="BV67:BV85" si="51">IF(BX67=0,"",CONCATENATE(BW67,"66:",BW67,BX67+65))</f>
        <v/>
      </c>
      <c r="BW67" s="95" t="s">
        <v>155</v>
      </c>
      <c r="BX67" s="95">
        <f>BC64</f>
        <v>0</v>
      </c>
    </row>
    <row r="68" spans="1:76" s="25" customFormat="1" ht="15.6" x14ac:dyDescent="0.3">
      <c r="B68" s="264">
        <v>3</v>
      </c>
      <c r="C68" s="119" t="str">
        <f t="shared" si="13"/>
        <v/>
      </c>
      <c r="D68" s="208" t="str">
        <f t="shared" si="44"/>
        <v/>
      </c>
      <c r="E68" s="166" t="str">
        <f t="shared" si="14"/>
        <v/>
      </c>
      <c r="F68" s="826"/>
      <c r="G68" s="827"/>
      <c r="H68" s="163" t="str">
        <f t="shared" si="15"/>
        <v/>
      </c>
      <c r="I68" s="317" t="str">
        <f t="shared" si="45"/>
        <v/>
      </c>
      <c r="J68" s="952" t="str">
        <f>IF(F68="","",VLOOKUP(F68,'10. Condition and Temporal'!$B$6:$F$103,5,FALSE))</f>
        <v/>
      </c>
      <c r="K68" s="953"/>
      <c r="L68" s="294" t="str">
        <f t="shared" si="46"/>
        <v/>
      </c>
      <c r="M68" s="948" t="str">
        <f t="shared" si="47"/>
        <v/>
      </c>
      <c r="N68" s="949"/>
      <c r="O68" s="74"/>
      <c r="P68" s="12"/>
      <c r="R68" s="741"/>
      <c r="T68" s="177" t="str">
        <f t="shared" si="16"/>
        <v/>
      </c>
      <c r="U68" s="114" t="str">
        <f t="shared" si="48"/>
        <v/>
      </c>
      <c r="V68" s="115" t="str">
        <f t="shared" si="17"/>
        <v/>
      </c>
      <c r="W68" s="113" t="str">
        <f t="shared" si="17"/>
        <v/>
      </c>
      <c r="X68" s="93" t="str">
        <f t="shared" si="17"/>
        <v/>
      </c>
      <c r="Y68" s="343"/>
      <c r="Z68" s="343"/>
      <c r="AA68" s="343"/>
      <c r="AB68" s="94" t="str">
        <f t="shared" si="18"/>
        <v/>
      </c>
      <c r="AC68" s="117" t="str">
        <f t="shared" si="19"/>
        <v/>
      </c>
      <c r="AD68" s="115" t="str">
        <f t="shared" si="49"/>
        <v/>
      </c>
      <c r="AE68" s="179" t="str">
        <f t="shared" si="50"/>
        <v/>
      </c>
      <c r="AF68" s="113" t="str">
        <f t="shared" si="20"/>
        <v/>
      </c>
      <c r="AG68" s="114" t="str">
        <f>IF(D68="","",VLOOKUP(F68,'9. All Habitats + Multipliers'!$C$4:$K$102,5,FALSE))</f>
        <v/>
      </c>
      <c r="AH68" s="115" t="str">
        <f>IF(AG68="","",VLOOKUP(AG68,'11. Lists'!$B$47:$D$49,2,FALSE))</f>
        <v/>
      </c>
      <c r="AI68" s="114" t="str">
        <f t="shared" si="21"/>
        <v/>
      </c>
      <c r="AJ68" s="477" t="str">
        <f>IF(AI68="","",VLOOKUP(AI68,'11. Lists'!$F$47:$G$51,2,FALSE))</f>
        <v/>
      </c>
      <c r="AK68" s="478"/>
      <c r="AL68" s="478"/>
      <c r="AM68" s="478"/>
      <c r="AN68" s="477" t="str">
        <f t="shared" si="22"/>
        <v/>
      </c>
      <c r="AO68" s="116" t="str">
        <f>IF(AN68="","",VLOOKUP(AN68,'11. Lists'!$F$36:$H$38,2,FALSE))</f>
        <v/>
      </c>
      <c r="AP68" s="115" t="str">
        <f>IF(AN68="","",VLOOKUP(AN68,'11. Lists'!$F$36:$H$38,3,FALSE))</f>
        <v/>
      </c>
      <c r="AQ68" s="114" t="str">
        <f>IF(D68="","",IF(AX68="Distinctiveness","N/A",VLOOKUP(F68,'10. Condition and Temporal'!$B$6:$L$103,11,FALSE)))</f>
        <v/>
      </c>
      <c r="AR68" s="118" t="str">
        <f>IF(AQ68="","",IF(AQ68="N/A","1",VLOOKUP(AQ68,'11. Lists'!$I$47:$K$80,3,FALSE)))</f>
        <v/>
      </c>
      <c r="AS68" s="134" t="str">
        <f>IF(D68="","",IF(AX68="Condition","N/A",VLOOKUP(F68,'10. Condition and Temporal'!$B$6:$M$106,12,FALSE)))</f>
        <v/>
      </c>
      <c r="AT68" s="118" t="str">
        <f>IF(AS68="","",IF(AS68="N/A","1",VLOOKUP(AS68,'11. Lists'!$I$47:$K$80,3,FALSE)))</f>
        <v/>
      </c>
      <c r="AU68" s="117" t="str">
        <f>IF(D68="","",VLOOKUP(F68,'9. All Habitats + Multipliers'!$C$4:$K$102,8,FALSE))</f>
        <v/>
      </c>
      <c r="AV68" s="115" t="str">
        <f>IF(AU68="","",VLOOKUP(AU68,'11. Lists'!$J$35:$K$38,2,FALSE))</f>
        <v/>
      </c>
      <c r="AW68" s="114" t="str">
        <f>IF(D68="","",VLOOKUP(D68,'10. Condition and Temporal'!$B$6:$M$103,4,FALSE))</f>
        <v/>
      </c>
      <c r="AX68" s="459" t="str">
        <f t="shared" si="23"/>
        <v/>
      </c>
      <c r="AY68" s="482" t="str">
        <v>1</v>
      </c>
      <c r="AZ68" s="479" t="str">
        <v>1</v>
      </c>
      <c r="BA68" s="93">
        <v>3</v>
      </c>
      <c r="BB68" s="95" t="str">
        <f t="shared" si="24"/>
        <v/>
      </c>
      <c r="BC68" s="95" t="str">
        <f t="shared" si="25"/>
        <v/>
      </c>
      <c r="BD68" s="95" t="str">
        <f t="shared" si="26"/>
        <v/>
      </c>
      <c r="BE68" s="95" t="str">
        <f t="shared" si="27"/>
        <v/>
      </c>
      <c r="BF68" s="95" t="str">
        <f t="shared" si="28"/>
        <v/>
      </c>
      <c r="BG68" s="95" t="str">
        <f t="shared" si="29"/>
        <v/>
      </c>
      <c r="BH68" s="95" t="str">
        <f t="shared" si="30"/>
        <v/>
      </c>
      <c r="BI68" s="95" t="str">
        <f t="shared" si="31"/>
        <v/>
      </c>
      <c r="BJ68" s="95" t="str">
        <f t="shared" si="32"/>
        <v/>
      </c>
      <c r="BK68" s="95" t="str">
        <f t="shared" si="33"/>
        <v/>
      </c>
      <c r="BL68" s="95" t="str">
        <f t="shared" si="34"/>
        <v/>
      </c>
      <c r="BM68" s="95" t="str">
        <f t="shared" si="35"/>
        <v/>
      </c>
      <c r="BN68" s="95" t="str">
        <f t="shared" si="36"/>
        <v/>
      </c>
      <c r="BO68" s="95" t="str">
        <f t="shared" si="37"/>
        <v/>
      </c>
      <c r="BP68" s="95" t="str">
        <f t="shared" si="38"/>
        <v/>
      </c>
      <c r="BQ68" s="95" t="str">
        <f t="shared" si="39"/>
        <v/>
      </c>
      <c r="BR68" s="95" t="str">
        <f t="shared" si="40"/>
        <v/>
      </c>
      <c r="BS68" s="95" t="str">
        <f t="shared" si="41"/>
        <v/>
      </c>
      <c r="BT68" s="95" t="str">
        <f t="shared" si="42"/>
        <v/>
      </c>
      <c r="BU68" s="94" t="str">
        <f t="shared" si="43"/>
        <v/>
      </c>
      <c r="BV68" s="184" t="str">
        <f t="shared" si="51"/>
        <v/>
      </c>
      <c r="BW68" s="95" t="s">
        <v>156</v>
      </c>
      <c r="BX68" s="95">
        <f>BD64</f>
        <v>0</v>
      </c>
    </row>
    <row r="69" spans="1:76" s="25" customFormat="1" ht="15.6" x14ac:dyDescent="0.3">
      <c r="B69" s="264">
        <v>4</v>
      </c>
      <c r="C69" s="119" t="str">
        <f t="shared" si="13"/>
        <v/>
      </c>
      <c r="D69" s="208" t="str">
        <f t="shared" si="44"/>
        <v/>
      </c>
      <c r="E69" s="166" t="str">
        <f t="shared" si="14"/>
        <v/>
      </c>
      <c r="F69" s="826"/>
      <c r="G69" s="827"/>
      <c r="H69" s="163" t="str">
        <f t="shared" si="15"/>
        <v/>
      </c>
      <c r="I69" s="317" t="str">
        <f t="shared" si="45"/>
        <v/>
      </c>
      <c r="J69" s="952" t="str">
        <f>IF(F69="","",VLOOKUP(F69,'10. Condition and Temporal'!$B$6:$F$103,5,FALSE))</f>
        <v/>
      </c>
      <c r="K69" s="953"/>
      <c r="L69" s="294" t="str">
        <f t="shared" si="46"/>
        <v/>
      </c>
      <c r="M69" s="948" t="str">
        <f t="shared" si="47"/>
        <v/>
      </c>
      <c r="N69" s="949"/>
      <c r="O69" s="74"/>
      <c r="P69" s="12"/>
      <c r="R69" s="741"/>
      <c r="T69" s="177" t="str">
        <f t="shared" si="16"/>
        <v/>
      </c>
      <c r="U69" s="114" t="str">
        <f t="shared" si="48"/>
        <v/>
      </c>
      <c r="V69" s="115" t="str">
        <f t="shared" si="17"/>
        <v/>
      </c>
      <c r="W69" s="113" t="str">
        <f t="shared" si="17"/>
        <v/>
      </c>
      <c r="X69" s="93" t="str">
        <f t="shared" si="17"/>
        <v/>
      </c>
      <c r="Y69" s="343"/>
      <c r="Z69" s="343"/>
      <c r="AA69" s="343"/>
      <c r="AB69" s="94" t="str">
        <f t="shared" si="18"/>
        <v/>
      </c>
      <c r="AC69" s="117" t="str">
        <f t="shared" si="19"/>
        <v/>
      </c>
      <c r="AD69" s="115" t="str">
        <f t="shared" si="49"/>
        <v/>
      </c>
      <c r="AE69" s="179" t="str">
        <f t="shared" si="50"/>
        <v/>
      </c>
      <c r="AF69" s="113" t="str">
        <f t="shared" si="20"/>
        <v/>
      </c>
      <c r="AG69" s="114" t="str">
        <f>IF(D69="","",VLOOKUP(F69,'9. All Habitats + Multipliers'!$C$4:$K$102,5,FALSE))</f>
        <v/>
      </c>
      <c r="AH69" s="115" t="str">
        <f>IF(AG69="","",VLOOKUP(AG69,'11. Lists'!$B$47:$D$49,2,FALSE))</f>
        <v/>
      </c>
      <c r="AI69" s="114" t="str">
        <f t="shared" si="21"/>
        <v/>
      </c>
      <c r="AJ69" s="477" t="str">
        <f>IF(AI69="","",VLOOKUP(AI69,'11. Lists'!$F$47:$G$51,2,FALSE))</f>
        <v/>
      </c>
      <c r="AK69" s="478"/>
      <c r="AL69" s="478"/>
      <c r="AM69" s="478"/>
      <c r="AN69" s="477" t="str">
        <f t="shared" si="22"/>
        <v/>
      </c>
      <c r="AO69" s="116" t="str">
        <f>IF(AN69="","",VLOOKUP(AN69,'11. Lists'!$F$36:$H$38,2,FALSE))</f>
        <v/>
      </c>
      <c r="AP69" s="115" t="str">
        <f>IF(AN69="","",VLOOKUP(AN69,'11. Lists'!$F$36:$H$38,3,FALSE))</f>
        <v/>
      </c>
      <c r="AQ69" s="114" t="str">
        <f>IF(D69="","",IF(AX69="Distinctiveness","N/A",VLOOKUP(F69,'10. Condition and Temporal'!$B$6:$L$103,11,FALSE)))</f>
        <v/>
      </c>
      <c r="AR69" s="118" t="str">
        <f>IF(AQ69="","",IF(AQ69="N/A","1",VLOOKUP(AQ69,'11. Lists'!$I$47:$K$80,3,FALSE)))</f>
        <v/>
      </c>
      <c r="AS69" s="134" t="str">
        <f>IF(D69="","",IF(AX69="Condition","N/A",VLOOKUP(F69,'10. Condition and Temporal'!$B$6:$M$106,12,FALSE)))</f>
        <v/>
      </c>
      <c r="AT69" s="118" t="str">
        <f>IF(AS69="","",IF(AS69="N/A","1",VLOOKUP(AS69,'11. Lists'!$I$47:$K$80,3,FALSE)))</f>
        <v/>
      </c>
      <c r="AU69" s="117" t="str">
        <f>IF(D69="","",VLOOKUP(F69,'9. All Habitats + Multipliers'!$C$4:$K$102,8,FALSE))</f>
        <v/>
      </c>
      <c r="AV69" s="115" t="str">
        <f>IF(AU69="","",VLOOKUP(AU69,'11. Lists'!$J$35:$K$38,2,FALSE))</f>
        <v/>
      </c>
      <c r="AW69" s="114" t="str">
        <f>IF(D69="","",VLOOKUP(D69,'10. Condition and Temporal'!$B$6:$M$103,4,FALSE))</f>
        <v/>
      </c>
      <c r="AX69" s="459" t="str">
        <f t="shared" si="23"/>
        <v/>
      </c>
      <c r="AY69" s="482" t="str">
        <v>1</v>
      </c>
      <c r="AZ69" s="479" t="str">
        <v>1</v>
      </c>
      <c r="BA69" s="93">
        <v>4</v>
      </c>
      <c r="BB69" s="95" t="str">
        <f t="shared" si="24"/>
        <v/>
      </c>
      <c r="BC69" s="95" t="str">
        <f t="shared" si="25"/>
        <v/>
      </c>
      <c r="BD69" s="95" t="str">
        <f t="shared" si="26"/>
        <v/>
      </c>
      <c r="BE69" s="95" t="str">
        <f t="shared" si="27"/>
        <v/>
      </c>
      <c r="BF69" s="95" t="str">
        <f t="shared" si="28"/>
        <v/>
      </c>
      <c r="BG69" s="95" t="str">
        <f t="shared" si="29"/>
        <v/>
      </c>
      <c r="BH69" s="95" t="str">
        <f t="shared" si="30"/>
        <v/>
      </c>
      <c r="BI69" s="95" t="str">
        <f t="shared" si="31"/>
        <v/>
      </c>
      <c r="BJ69" s="95" t="str">
        <f t="shared" si="32"/>
        <v/>
      </c>
      <c r="BK69" s="95" t="str">
        <f t="shared" si="33"/>
        <v/>
      </c>
      <c r="BL69" s="95" t="str">
        <f t="shared" si="34"/>
        <v/>
      </c>
      <c r="BM69" s="95" t="str">
        <f t="shared" si="35"/>
        <v/>
      </c>
      <c r="BN69" s="95" t="str">
        <f t="shared" si="36"/>
        <v/>
      </c>
      <c r="BO69" s="95" t="str">
        <f t="shared" si="37"/>
        <v/>
      </c>
      <c r="BP69" s="95" t="str">
        <f t="shared" si="38"/>
        <v/>
      </c>
      <c r="BQ69" s="95" t="str">
        <f t="shared" si="39"/>
        <v/>
      </c>
      <c r="BR69" s="95" t="str">
        <f t="shared" si="40"/>
        <v/>
      </c>
      <c r="BS69" s="95" t="str">
        <f t="shared" si="41"/>
        <v/>
      </c>
      <c r="BT69" s="95" t="str">
        <f t="shared" si="42"/>
        <v/>
      </c>
      <c r="BU69" s="94" t="str">
        <f t="shared" si="43"/>
        <v/>
      </c>
      <c r="BV69" s="184" t="str">
        <f t="shared" si="51"/>
        <v/>
      </c>
      <c r="BW69" s="95" t="s">
        <v>157</v>
      </c>
      <c r="BX69" s="95">
        <f>BE64</f>
        <v>0</v>
      </c>
    </row>
    <row r="70" spans="1:76" s="25" customFormat="1" ht="15.75" customHeight="1" x14ac:dyDescent="0.3">
      <c r="B70" s="264">
        <v>5</v>
      </c>
      <c r="C70" s="119" t="str">
        <f t="shared" si="13"/>
        <v/>
      </c>
      <c r="D70" s="208" t="str">
        <f t="shared" si="44"/>
        <v/>
      </c>
      <c r="E70" s="166" t="str">
        <f t="shared" si="14"/>
        <v/>
      </c>
      <c r="F70" s="826"/>
      <c r="G70" s="827"/>
      <c r="H70" s="163" t="str">
        <f t="shared" si="15"/>
        <v/>
      </c>
      <c r="I70" s="317" t="str">
        <f t="shared" si="45"/>
        <v/>
      </c>
      <c r="J70" s="952" t="str">
        <f>IF(F70="","",VLOOKUP(F70,'10. Condition and Temporal'!$B$6:$F$103,5,FALSE))</f>
        <v/>
      </c>
      <c r="K70" s="953"/>
      <c r="L70" s="294" t="str">
        <f t="shared" si="46"/>
        <v/>
      </c>
      <c r="M70" s="948" t="str">
        <f t="shared" si="47"/>
        <v/>
      </c>
      <c r="N70" s="949"/>
      <c r="O70" s="74"/>
      <c r="P70" s="12"/>
      <c r="R70" s="741"/>
      <c r="T70" s="177" t="str">
        <f t="shared" si="16"/>
        <v/>
      </c>
      <c r="U70" s="114" t="str">
        <f t="shared" si="48"/>
        <v/>
      </c>
      <c r="V70" s="115" t="str">
        <f t="shared" si="17"/>
        <v/>
      </c>
      <c r="W70" s="113" t="str">
        <f t="shared" si="17"/>
        <v/>
      </c>
      <c r="X70" s="93" t="str">
        <f t="shared" si="17"/>
        <v/>
      </c>
      <c r="Y70" s="343"/>
      <c r="Z70" s="343"/>
      <c r="AA70" s="343"/>
      <c r="AB70" s="94" t="str">
        <f t="shared" si="18"/>
        <v/>
      </c>
      <c r="AC70" s="117" t="str">
        <f t="shared" si="19"/>
        <v/>
      </c>
      <c r="AD70" s="115" t="str">
        <f t="shared" si="49"/>
        <v/>
      </c>
      <c r="AE70" s="179" t="str">
        <f t="shared" si="50"/>
        <v/>
      </c>
      <c r="AF70" s="113" t="str">
        <f t="shared" si="20"/>
        <v/>
      </c>
      <c r="AG70" s="114" t="str">
        <f>IF(D70="","",VLOOKUP(F70,'9. All Habitats + Multipliers'!$C$4:$K$102,5,FALSE))</f>
        <v/>
      </c>
      <c r="AH70" s="115" t="str">
        <f>IF(AG70="","",VLOOKUP(AG70,'11. Lists'!$B$47:$D$49,2,FALSE))</f>
        <v/>
      </c>
      <c r="AI70" s="114" t="str">
        <f t="shared" si="21"/>
        <v/>
      </c>
      <c r="AJ70" s="477" t="str">
        <f>IF(AI70="","",VLOOKUP(AI70,'11. Lists'!$F$47:$G$51,2,FALSE))</f>
        <v/>
      </c>
      <c r="AK70" s="478"/>
      <c r="AL70" s="478"/>
      <c r="AM70" s="478"/>
      <c r="AN70" s="477" t="str">
        <f t="shared" si="22"/>
        <v/>
      </c>
      <c r="AO70" s="116" t="str">
        <f>IF(AN70="","",VLOOKUP(AN70,'11. Lists'!$F$36:$H$38,2,FALSE))</f>
        <v/>
      </c>
      <c r="AP70" s="115" t="str">
        <f>IF(AN70="","",VLOOKUP(AN70,'11. Lists'!$F$36:$H$38,3,FALSE))</f>
        <v/>
      </c>
      <c r="AQ70" s="114" t="str">
        <f>IF(D70="","",IF(AX70="Distinctiveness","N/A",VLOOKUP(F70,'10. Condition and Temporal'!$B$6:$L$103,11,FALSE)))</f>
        <v/>
      </c>
      <c r="AR70" s="118" t="str">
        <f>IF(AQ70="","",IF(AQ70="N/A","1",VLOOKUP(AQ70,'11. Lists'!$I$47:$K$80,3,FALSE)))</f>
        <v/>
      </c>
      <c r="AS70" s="134" t="str">
        <f>IF(D70="","",IF(AX70="Condition","N/A",VLOOKUP(F70,'10. Condition and Temporal'!$B$6:$M$106,12,FALSE)))</f>
        <v/>
      </c>
      <c r="AT70" s="118" t="str">
        <f>IF(AS70="","",IF(AS70="N/A","1",VLOOKUP(AS70,'11. Lists'!$I$47:$K$80,3,FALSE)))</f>
        <v/>
      </c>
      <c r="AU70" s="117" t="str">
        <f>IF(D70="","",VLOOKUP(F70,'9. All Habitats + Multipliers'!$C$4:$K$102,8,FALSE))</f>
        <v/>
      </c>
      <c r="AV70" s="115" t="str">
        <f>IF(AU70="","",VLOOKUP(AU70,'11. Lists'!$J$35:$K$38,2,FALSE))</f>
        <v/>
      </c>
      <c r="AW70" s="114" t="str">
        <f>IF(D70="","",VLOOKUP(D70,'10. Condition and Temporal'!$B$6:$M$103,4,FALSE))</f>
        <v/>
      </c>
      <c r="AX70" s="459" t="str">
        <f t="shared" si="23"/>
        <v/>
      </c>
      <c r="AY70" s="482" t="str">
        <v>1</v>
      </c>
      <c r="AZ70" s="479" t="str">
        <v>1</v>
      </c>
      <c r="BA70" s="93">
        <v>5</v>
      </c>
      <c r="BB70" s="95" t="str">
        <f t="shared" si="24"/>
        <v/>
      </c>
      <c r="BC70" s="95" t="str">
        <f t="shared" si="25"/>
        <v/>
      </c>
      <c r="BD70" s="95" t="str">
        <f t="shared" si="26"/>
        <v/>
      </c>
      <c r="BE70" s="95" t="str">
        <f t="shared" si="27"/>
        <v/>
      </c>
      <c r="BF70" s="95" t="str">
        <f t="shared" si="28"/>
        <v/>
      </c>
      <c r="BG70" s="95" t="str">
        <f t="shared" si="29"/>
        <v/>
      </c>
      <c r="BH70" s="95" t="str">
        <f t="shared" si="30"/>
        <v/>
      </c>
      <c r="BI70" s="95" t="str">
        <f t="shared" si="31"/>
        <v/>
      </c>
      <c r="BJ70" s="95" t="str">
        <f t="shared" si="32"/>
        <v/>
      </c>
      <c r="BK70" s="95" t="str">
        <f t="shared" si="33"/>
        <v/>
      </c>
      <c r="BL70" s="95" t="str">
        <f t="shared" si="34"/>
        <v/>
      </c>
      <c r="BM70" s="95" t="str">
        <f t="shared" si="35"/>
        <v/>
      </c>
      <c r="BN70" s="95" t="str">
        <f t="shared" si="36"/>
        <v/>
      </c>
      <c r="BO70" s="95" t="str">
        <f t="shared" si="37"/>
        <v/>
      </c>
      <c r="BP70" s="95" t="str">
        <f t="shared" si="38"/>
        <v/>
      </c>
      <c r="BQ70" s="95" t="str">
        <f t="shared" si="39"/>
        <v/>
      </c>
      <c r="BR70" s="95" t="str">
        <f t="shared" si="40"/>
        <v/>
      </c>
      <c r="BS70" s="95" t="str">
        <f t="shared" si="41"/>
        <v/>
      </c>
      <c r="BT70" s="95" t="str">
        <f t="shared" si="42"/>
        <v/>
      </c>
      <c r="BU70" s="94" t="str">
        <f t="shared" si="43"/>
        <v/>
      </c>
      <c r="BV70" s="184" t="str">
        <f t="shared" si="51"/>
        <v/>
      </c>
      <c r="BW70" s="95" t="s">
        <v>158</v>
      </c>
      <c r="BX70" s="95">
        <f>BF64</f>
        <v>0</v>
      </c>
    </row>
    <row r="71" spans="1:76" s="25" customFormat="1" ht="15.75" customHeight="1" x14ac:dyDescent="0.3">
      <c r="B71" s="264">
        <v>6</v>
      </c>
      <c r="C71" s="119" t="str">
        <f t="shared" si="13"/>
        <v/>
      </c>
      <c r="D71" s="208" t="str">
        <f t="shared" si="44"/>
        <v/>
      </c>
      <c r="E71" s="166" t="str">
        <f t="shared" si="14"/>
        <v/>
      </c>
      <c r="F71" s="826"/>
      <c r="G71" s="827"/>
      <c r="H71" s="163" t="str">
        <f t="shared" si="15"/>
        <v/>
      </c>
      <c r="I71" s="317" t="str">
        <f t="shared" si="45"/>
        <v/>
      </c>
      <c r="J71" s="952" t="str">
        <f>IF(F71="","",VLOOKUP(F71,'10. Condition and Temporal'!$B$6:$F$103,5,FALSE))</f>
        <v/>
      </c>
      <c r="K71" s="953"/>
      <c r="L71" s="294" t="str">
        <f t="shared" si="46"/>
        <v/>
      </c>
      <c r="M71" s="948" t="str">
        <f t="shared" si="47"/>
        <v/>
      </c>
      <c r="N71" s="949"/>
      <c r="O71" s="74"/>
      <c r="P71" s="12"/>
      <c r="R71" s="741"/>
      <c r="T71" s="177" t="str">
        <f t="shared" si="16"/>
        <v/>
      </c>
      <c r="U71" s="114" t="str">
        <f t="shared" si="48"/>
        <v/>
      </c>
      <c r="V71" s="115" t="str">
        <f t="shared" si="17"/>
        <v/>
      </c>
      <c r="W71" s="113" t="str">
        <f t="shared" si="17"/>
        <v/>
      </c>
      <c r="X71" s="93" t="str">
        <f t="shared" si="17"/>
        <v/>
      </c>
      <c r="Y71" s="343"/>
      <c r="Z71" s="343"/>
      <c r="AA71" s="343"/>
      <c r="AB71" s="94" t="str">
        <f t="shared" si="18"/>
        <v/>
      </c>
      <c r="AC71" s="117" t="str">
        <f t="shared" si="19"/>
        <v/>
      </c>
      <c r="AD71" s="115" t="str">
        <f t="shared" si="49"/>
        <v/>
      </c>
      <c r="AE71" s="179" t="str">
        <f t="shared" si="50"/>
        <v/>
      </c>
      <c r="AF71" s="113" t="str">
        <f t="shared" si="20"/>
        <v/>
      </c>
      <c r="AG71" s="114" t="str">
        <f>IF(D71="","",VLOOKUP(F71,'9. All Habitats + Multipliers'!$C$4:$K$102,5,FALSE))</f>
        <v/>
      </c>
      <c r="AH71" s="115" t="str">
        <f>IF(AG71="","",VLOOKUP(AG71,'11. Lists'!$B$47:$D$49,2,FALSE))</f>
        <v/>
      </c>
      <c r="AI71" s="114" t="str">
        <f t="shared" si="21"/>
        <v/>
      </c>
      <c r="AJ71" s="477" t="str">
        <f>IF(AI71="","",VLOOKUP(AI71,'11. Lists'!$F$47:$G$51,2,FALSE))</f>
        <v/>
      </c>
      <c r="AK71" s="478"/>
      <c r="AL71" s="478"/>
      <c r="AM71" s="478"/>
      <c r="AN71" s="477" t="str">
        <f t="shared" si="22"/>
        <v/>
      </c>
      <c r="AO71" s="116" t="str">
        <f>IF(AN71="","",VLOOKUP(AN71,'11. Lists'!$F$36:$H$38,2,FALSE))</f>
        <v/>
      </c>
      <c r="AP71" s="115" t="str">
        <f>IF(AN71="","",VLOOKUP(AN71,'11. Lists'!$F$36:$H$38,3,FALSE))</f>
        <v/>
      </c>
      <c r="AQ71" s="114" t="str">
        <f>IF(D71="","",IF(AX71="Distinctiveness","N/A",VLOOKUP(F71,'10. Condition and Temporal'!$B$6:$L$103,11,FALSE)))</f>
        <v/>
      </c>
      <c r="AR71" s="118" t="str">
        <f>IF(AQ71="","",IF(AQ71="N/A","1",VLOOKUP(AQ71,'11. Lists'!$I$47:$K$80,3,FALSE)))</f>
        <v/>
      </c>
      <c r="AS71" s="134" t="str">
        <f>IF(D71="","",IF(AX71="Condition","N/A",VLOOKUP(F71,'10. Condition and Temporal'!$B$6:$M$106,12,FALSE)))</f>
        <v/>
      </c>
      <c r="AT71" s="118" t="str">
        <f>IF(AS71="","",IF(AS71="N/A","1",VLOOKUP(AS71,'11. Lists'!$I$47:$K$80,3,FALSE)))</f>
        <v/>
      </c>
      <c r="AU71" s="117" t="str">
        <f>IF(D71="","",VLOOKUP(F71,'9. All Habitats + Multipliers'!$C$4:$K$102,8,FALSE))</f>
        <v/>
      </c>
      <c r="AV71" s="115" t="str">
        <f>IF(AU71="","",VLOOKUP(AU71,'11. Lists'!$J$35:$K$38,2,FALSE))</f>
        <v/>
      </c>
      <c r="AW71" s="114" t="str">
        <f>IF(D71="","",VLOOKUP(D71,'10. Condition and Temporal'!$B$6:$M$103,4,FALSE))</f>
        <v/>
      </c>
      <c r="AX71" s="459" t="str">
        <f t="shared" si="23"/>
        <v/>
      </c>
      <c r="AY71" s="482" t="str">
        <v>1</v>
      </c>
      <c r="AZ71" s="479" t="str">
        <v>1</v>
      </c>
      <c r="BA71" s="93">
        <v>6</v>
      </c>
      <c r="BB71" s="95" t="str">
        <f t="shared" si="24"/>
        <v/>
      </c>
      <c r="BC71" s="95" t="str">
        <f t="shared" si="25"/>
        <v/>
      </c>
      <c r="BD71" s="95" t="str">
        <f t="shared" si="26"/>
        <v/>
      </c>
      <c r="BE71" s="95" t="str">
        <f t="shared" si="27"/>
        <v/>
      </c>
      <c r="BF71" s="95" t="str">
        <f t="shared" si="28"/>
        <v/>
      </c>
      <c r="BG71" s="95" t="str">
        <f t="shared" si="29"/>
        <v/>
      </c>
      <c r="BH71" s="95" t="str">
        <f t="shared" si="30"/>
        <v/>
      </c>
      <c r="BI71" s="95" t="str">
        <f t="shared" si="31"/>
        <v/>
      </c>
      <c r="BJ71" s="95" t="str">
        <f t="shared" si="32"/>
        <v/>
      </c>
      <c r="BK71" s="95" t="str">
        <f t="shared" si="33"/>
        <v/>
      </c>
      <c r="BL71" s="95" t="str">
        <f t="shared" si="34"/>
        <v/>
      </c>
      <c r="BM71" s="95" t="str">
        <f t="shared" si="35"/>
        <v/>
      </c>
      <c r="BN71" s="95" t="str">
        <f t="shared" si="36"/>
        <v/>
      </c>
      <c r="BO71" s="95" t="str">
        <f t="shared" si="37"/>
        <v/>
      </c>
      <c r="BP71" s="95" t="str">
        <f t="shared" si="38"/>
        <v/>
      </c>
      <c r="BQ71" s="95" t="str">
        <f t="shared" si="39"/>
        <v/>
      </c>
      <c r="BR71" s="95" t="str">
        <f t="shared" si="40"/>
        <v/>
      </c>
      <c r="BS71" s="95" t="str">
        <f t="shared" si="41"/>
        <v/>
      </c>
      <c r="BT71" s="95" t="str">
        <f t="shared" si="42"/>
        <v/>
      </c>
      <c r="BU71" s="94" t="str">
        <f t="shared" si="43"/>
        <v/>
      </c>
      <c r="BV71" s="184" t="str">
        <f t="shared" si="51"/>
        <v/>
      </c>
      <c r="BW71" s="95" t="s">
        <v>159</v>
      </c>
      <c r="BX71" s="95">
        <f>BG64</f>
        <v>0</v>
      </c>
    </row>
    <row r="72" spans="1:76" s="25" customFormat="1" ht="15.75" customHeight="1" x14ac:dyDescent="0.3">
      <c r="B72" s="264">
        <v>7</v>
      </c>
      <c r="C72" s="119" t="str">
        <f t="shared" si="13"/>
        <v/>
      </c>
      <c r="D72" s="208" t="str">
        <f t="shared" si="44"/>
        <v/>
      </c>
      <c r="E72" s="166" t="str">
        <f t="shared" si="14"/>
        <v/>
      </c>
      <c r="F72" s="826"/>
      <c r="G72" s="827"/>
      <c r="H72" s="163" t="str">
        <f t="shared" si="15"/>
        <v/>
      </c>
      <c r="I72" s="317" t="str">
        <f t="shared" si="45"/>
        <v/>
      </c>
      <c r="J72" s="952" t="str">
        <f>IF(F72="","",VLOOKUP(F72,'10. Condition and Temporal'!$B$6:$F$103,5,FALSE))</f>
        <v/>
      </c>
      <c r="K72" s="953"/>
      <c r="L72" s="294" t="str">
        <f t="shared" si="46"/>
        <v/>
      </c>
      <c r="M72" s="948" t="str">
        <f t="shared" si="47"/>
        <v/>
      </c>
      <c r="N72" s="949"/>
      <c r="O72" s="74"/>
      <c r="P72" s="12"/>
      <c r="R72" s="741"/>
      <c r="T72" s="177" t="str">
        <f t="shared" si="16"/>
        <v/>
      </c>
      <c r="U72" s="114" t="str">
        <f t="shared" si="48"/>
        <v/>
      </c>
      <c r="V72" s="115" t="str">
        <f t="shared" si="17"/>
        <v/>
      </c>
      <c r="W72" s="113" t="str">
        <f t="shared" si="17"/>
        <v/>
      </c>
      <c r="X72" s="93" t="str">
        <f t="shared" si="17"/>
        <v/>
      </c>
      <c r="Y72" s="343"/>
      <c r="Z72" s="343"/>
      <c r="AA72" s="343"/>
      <c r="AB72" s="94" t="str">
        <f t="shared" si="18"/>
        <v/>
      </c>
      <c r="AC72" s="117" t="str">
        <f t="shared" si="19"/>
        <v/>
      </c>
      <c r="AD72" s="115" t="str">
        <f t="shared" si="49"/>
        <v/>
      </c>
      <c r="AE72" s="179" t="str">
        <f t="shared" si="50"/>
        <v/>
      </c>
      <c r="AF72" s="113" t="str">
        <f t="shared" si="20"/>
        <v/>
      </c>
      <c r="AG72" s="114" t="str">
        <f>IF(D72="","",VLOOKUP(F72,'9. All Habitats + Multipliers'!$C$4:$K$102,5,FALSE))</f>
        <v/>
      </c>
      <c r="AH72" s="115" t="str">
        <f>IF(AG72="","",VLOOKUP(AG72,'11. Lists'!$B$47:$D$49,2,FALSE))</f>
        <v/>
      </c>
      <c r="AI72" s="114" t="str">
        <f t="shared" si="21"/>
        <v/>
      </c>
      <c r="AJ72" s="477" t="str">
        <f>IF(AI72="","",VLOOKUP(AI72,'11. Lists'!$F$47:$G$51,2,FALSE))</f>
        <v/>
      </c>
      <c r="AK72" s="478"/>
      <c r="AL72" s="478"/>
      <c r="AM72" s="478"/>
      <c r="AN72" s="477" t="str">
        <f t="shared" si="22"/>
        <v/>
      </c>
      <c r="AO72" s="116" t="str">
        <f>IF(AN72="","",VLOOKUP(AN72,'11. Lists'!$F$36:$H$38,2,FALSE))</f>
        <v/>
      </c>
      <c r="AP72" s="115" t="str">
        <f>IF(AN72="","",VLOOKUP(AN72,'11. Lists'!$F$36:$H$38,3,FALSE))</f>
        <v/>
      </c>
      <c r="AQ72" s="114" t="str">
        <f>IF(D72="","",IF(AX72="Distinctiveness","N/A",VLOOKUP(F72,'10. Condition and Temporal'!$B$6:$L$103,11,FALSE)))</f>
        <v/>
      </c>
      <c r="AR72" s="118" t="str">
        <f>IF(AQ72="","",IF(AQ72="N/A","1",VLOOKUP(AQ72,'11. Lists'!$I$47:$K$80,3,FALSE)))</f>
        <v/>
      </c>
      <c r="AS72" s="134" t="str">
        <f>IF(D72="","",IF(AX72="Condition","N/A",VLOOKUP(F72,'10. Condition and Temporal'!$B$6:$M$106,12,FALSE)))</f>
        <v/>
      </c>
      <c r="AT72" s="118" t="str">
        <f>IF(AS72="","",IF(AS72="N/A","1",VLOOKUP(AS72,'11. Lists'!$I$47:$K$80,3,FALSE)))</f>
        <v/>
      </c>
      <c r="AU72" s="117" t="str">
        <f>IF(D72="","",VLOOKUP(F72,'9. All Habitats + Multipliers'!$C$4:$K$102,8,FALSE))</f>
        <v/>
      </c>
      <c r="AV72" s="115" t="str">
        <f>IF(AU72="","",VLOOKUP(AU72,'11. Lists'!$J$35:$K$38,2,FALSE))</f>
        <v/>
      </c>
      <c r="AW72" s="114" t="str">
        <f>IF(D72="","",VLOOKUP(D72,'10. Condition and Temporal'!$B$6:$M$103,4,FALSE))</f>
        <v/>
      </c>
      <c r="AX72" s="459" t="str">
        <f t="shared" si="23"/>
        <v/>
      </c>
      <c r="AY72" s="482" t="str">
        <v>1</v>
      </c>
      <c r="AZ72" s="479" t="str">
        <v>1</v>
      </c>
      <c r="BA72" s="93">
        <v>7</v>
      </c>
      <c r="BB72" s="95" t="str">
        <f t="shared" si="24"/>
        <v/>
      </c>
      <c r="BC72" s="95" t="str">
        <f t="shared" si="25"/>
        <v/>
      </c>
      <c r="BD72" s="95" t="str">
        <f t="shared" si="26"/>
        <v/>
      </c>
      <c r="BE72" s="95" t="str">
        <f t="shared" si="27"/>
        <v/>
      </c>
      <c r="BF72" s="95" t="str">
        <f t="shared" si="28"/>
        <v/>
      </c>
      <c r="BG72" s="95" t="str">
        <f t="shared" si="29"/>
        <v/>
      </c>
      <c r="BH72" s="95" t="str">
        <f t="shared" si="30"/>
        <v/>
      </c>
      <c r="BI72" s="95" t="str">
        <f t="shared" si="31"/>
        <v/>
      </c>
      <c r="BJ72" s="95" t="str">
        <f t="shared" si="32"/>
        <v/>
      </c>
      <c r="BK72" s="95" t="str">
        <f t="shared" si="33"/>
        <v/>
      </c>
      <c r="BL72" s="95" t="str">
        <f t="shared" si="34"/>
        <v/>
      </c>
      <c r="BM72" s="95" t="str">
        <f t="shared" si="35"/>
        <v/>
      </c>
      <c r="BN72" s="95" t="str">
        <f t="shared" si="36"/>
        <v/>
      </c>
      <c r="BO72" s="95" t="str">
        <f t="shared" si="37"/>
        <v/>
      </c>
      <c r="BP72" s="95" t="str">
        <f t="shared" si="38"/>
        <v/>
      </c>
      <c r="BQ72" s="95" t="str">
        <f t="shared" si="39"/>
        <v/>
      </c>
      <c r="BR72" s="95" t="str">
        <f t="shared" si="40"/>
        <v/>
      </c>
      <c r="BS72" s="95" t="str">
        <f t="shared" si="41"/>
        <v/>
      </c>
      <c r="BT72" s="95" t="str">
        <f t="shared" si="42"/>
        <v/>
      </c>
      <c r="BU72" s="94" t="str">
        <f t="shared" si="43"/>
        <v/>
      </c>
      <c r="BV72" s="184" t="str">
        <f t="shared" si="51"/>
        <v/>
      </c>
      <c r="BW72" s="95" t="s">
        <v>160</v>
      </c>
      <c r="BX72" s="95">
        <f>BH64</f>
        <v>0</v>
      </c>
    </row>
    <row r="73" spans="1:76" s="25" customFormat="1" ht="15.6" x14ac:dyDescent="0.3">
      <c r="B73" s="264">
        <v>8</v>
      </c>
      <c r="C73" s="119" t="str">
        <f t="shared" si="13"/>
        <v/>
      </c>
      <c r="D73" s="208" t="str">
        <f t="shared" si="44"/>
        <v/>
      </c>
      <c r="E73" s="166" t="str">
        <f t="shared" si="14"/>
        <v/>
      </c>
      <c r="F73" s="826"/>
      <c r="G73" s="827"/>
      <c r="H73" s="163" t="str">
        <f t="shared" si="15"/>
        <v/>
      </c>
      <c r="I73" s="317" t="str">
        <f t="shared" si="45"/>
        <v/>
      </c>
      <c r="J73" s="952" t="str">
        <f>IF(F73="","",VLOOKUP(F73,'10. Condition and Temporal'!$B$6:$F$103,5,FALSE))</f>
        <v/>
      </c>
      <c r="K73" s="953"/>
      <c r="L73" s="294" t="str">
        <f t="shared" si="46"/>
        <v/>
      </c>
      <c r="M73" s="948" t="str">
        <f t="shared" si="47"/>
        <v/>
      </c>
      <c r="N73" s="949"/>
      <c r="O73" s="74"/>
      <c r="P73" s="12"/>
      <c r="R73" s="741"/>
      <c r="T73" s="177" t="str">
        <f t="shared" si="16"/>
        <v/>
      </c>
      <c r="U73" s="114" t="str">
        <f t="shared" si="48"/>
        <v/>
      </c>
      <c r="V73" s="115" t="str">
        <f t="shared" si="17"/>
        <v/>
      </c>
      <c r="W73" s="113" t="str">
        <f t="shared" si="17"/>
        <v/>
      </c>
      <c r="X73" s="93" t="str">
        <f t="shared" si="17"/>
        <v/>
      </c>
      <c r="Y73" s="343"/>
      <c r="Z73" s="343"/>
      <c r="AA73" s="343"/>
      <c r="AB73" s="94" t="str">
        <f t="shared" si="18"/>
        <v/>
      </c>
      <c r="AC73" s="117" t="str">
        <f t="shared" si="19"/>
        <v/>
      </c>
      <c r="AD73" s="115" t="str">
        <f t="shared" si="49"/>
        <v/>
      </c>
      <c r="AE73" s="179" t="str">
        <f t="shared" si="50"/>
        <v/>
      </c>
      <c r="AF73" s="113" t="str">
        <f t="shared" si="20"/>
        <v/>
      </c>
      <c r="AG73" s="114" t="str">
        <f>IF(D73="","",VLOOKUP(F73,'9. All Habitats + Multipliers'!$C$4:$K$102,5,FALSE))</f>
        <v/>
      </c>
      <c r="AH73" s="115" t="str">
        <f>IF(AG73="","",VLOOKUP(AG73,'11. Lists'!$B$47:$D$49,2,FALSE))</f>
        <v/>
      </c>
      <c r="AI73" s="114" t="str">
        <f t="shared" si="21"/>
        <v/>
      </c>
      <c r="AJ73" s="477" t="str">
        <f>IF(AI73="","",VLOOKUP(AI73,'11. Lists'!$F$47:$G$51,2,FALSE))</f>
        <v/>
      </c>
      <c r="AK73" s="478"/>
      <c r="AL73" s="478"/>
      <c r="AM73" s="478"/>
      <c r="AN73" s="477" t="str">
        <f t="shared" si="22"/>
        <v/>
      </c>
      <c r="AO73" s="116" t="str">
        <f>IF(AN73="","",VLOOKUP(AN73,'11. Lists'!$F$36:$H$38,2,FALSE))</f>
        <v/>
      </c>
      <c r="AP73" s="115" t="str">
        <f>IF(AN73="","",VLOOKUP(AN73,'11. Lists'!$F$36:$H$38,3,FALSE))</f>
        <v/>
      </c>
      <c r="AQ73" s="114" t="str">
        <f>IF(D73="","",IF(AX73="Distinctiveness","N/A",VLOOKUP(F73,'10. Condition and Temporal'!$B$6:$L$103,11,FALSE)))</f>
        <v/>
      </c>
      <c r="AR73" s="118" t="str">
        <f>IF(AQ73="","",IF(AQ73="N/A","1",VLOOKUP(AQ73,'11. Lists'!$I$47:$K$80,3,FALSE)))</f>
        <v/>
      </c>
      <c r="AS73" s="134" t="str">
        <f>IF(D73="","",IF(AX73="Condition","N/A",VLOOKUP(F73,'10. Condition and Temporal'!$B$6:$M$106,12,FALSE)))</f>
        <v/>
      </c>
      <c r="AT73" s="118" t="str">
        <f>IF(AS73="","",IF(AS73="N/A","1",VLOOKUP(AS73,'11. Lists'!$I$47:$K$80,3,FALSE)))</f>
        <v/>
      </c>
      <c r="AU73" s="117" t="str">
        <f>IF(D73="","",VLOOKUP(F73,'9. All Habitats + Multipliers'!$C$4:$K$102,8,FALSE))</f>
        <v/>
      </c>
      <c r="AV73" s="115" t="str">
        <f>IF(AU73="","",VLOOKUP(AU73,'11. Lists'!$J$35:$K$38,2,FALSE))</f>
        <v/>
      </c>
      <c r="AW73" s="114" t="str">
        <f>IF(D73="","",VLOOKUP(D73,'10. Condition and Temporal'!$B$6:$M$103,4,FALSE))</f>
        <v/>
      </c>
      <c r="AX73" s="459" t="str">
        <f t="shared" si="23"/>
        <v/>
      </c>
      <c r="AY73" s="482" t="str">
        <v>1</v>
      </c>
      <c r="AZ73" s="479" t="str">
        <v>1</v>
      </c>
      <c r="BA73" s="93">
        <v>8</v>
      </c>
      <c r="BB73" s="95" t="str">
        <f t="shared" si="24"/>
        <v/>
      </c>
      <c r="BC73" s="95" t="str">
        <f t="shared" si="25"/>
        <v/>
      </c>
      <c r="BD73" s="95" t="str">
        <f t="shared" si="26"/>
        <v/>
      </c>
      <c r="BE73" s="95" t="str">
        <f t="shared" si="27"/>
        <v/>
      </c>
      <c r="BF73" s="95" t="str">
        <f t="shared" si="28"/>
        <v/>
      </c>
      <c r="BG73" s="95" t="str">
        <f t="shared" si="29"/>
        <v/>
      </c>
      <c r="BH73" s="95" t="str">
        <f t="shared" si="30"/>
        <v/>
      </c>
      <c r="BI73" s="95" t="str">
        <f t="shared" si="31"/>
        <v/>
      </c>
      <c r="BJ73" s="95" t="str">
        <f t="shared" si="32"/>
        <v/>
      </c>
      <c r="BK73" s="95" t="str">
        <f t="shared" si="33"/>
        <v/>
      </c>
      <c r="BL73" s="95" t="str">
        <f t="shared" si="34"/>
        <v/>
      </c>
      <c r="BM73" s="95" t="str">
        <f t="shared" si="35"/>
        <v/>
      </c>
      <c r="BN73" s="95" t="str">
        <f t="shared" si="36"/>
        <v/>
      </c>
      <c r="BO73" s="95" t="str">
        <f t="shared" si="37"/>
        <v/>
      </c>
      <c r="BP73" s="95" t="str">
        <f t="shared" si="38"/>
        <v/>
      </c>
      <c r="BQ73" s="95" t="str">
        <f t="shared" si="39"/>
        <v/>
      </c>
      <c r="BR73" s="95" t="str">
        <f t="shared" si="40"/>
        <v/>
      </c>
      <c r="BS73" s="95" t="str">
        <f t="shared" si="41"/>
        <v/>
      </c>
      <c r="BT73" s="95" t="str">
        <f t="shared" si="42"/>
        <v/>
      </c>
      <c r="BU73" s="94" t="str">
        <f t="shared" si="43"/>
        <v/>
      </c>
      <c r="BV73" s="184" t="str">
        <f t="shared" si="51"/>
        <v/>
      </c>
      <c r="BW73" s="95" t="s">
        <v>161</v>
      </c>
      <c r="BX73" s="95">
        <f>BI64</f>
        <v>0</v>
      </c>
    </row>
    <row r="74" spans="1:76" s="25" customFormat="1" ht="15.75" customHeight="1" x14ac:dyDescent="0.3">
      <c r="B74" s="264">
        <v>9</v>
      </c>
      <c r="C74" s="119" t="str">
        <f t="shared" si="13"/>
        <v/>
      </c>
      <c r="D74" s="208" t="str">
        <f t="shared" si="44"/>
        <v/>
      </c>
      <c r="E74" s="166" t="str">
        <f t="shared" si="14"/>
        <v/>
      </c>
      <c r="F74" s="826"/>
      <c r="G74" s="827"/>
      <c r="H74" s="163" t="str">
        <f t="shared" si="15"/>
        <v/>
      </c>
      <c r="I74" s="317" t="str">
        <f t="shared" si="45"/>
        <v/>
      </c>
      <c r="J74" s="952" t="str">
        <f>IF(F74="","",VLOOKUP(F74,'10. Condition and Temporal'!$B$6:$F$103,5,FALSE))</f>
        <v/>
      </c>
      <c r="K74" s="953"/>
      <c r="L74" s="294" t="str">
        <f t="shared" si="46"/>
        <v/>
      </c>
      <c r="M74" s="948" t="str">
        <f t="shared" si="47"/>
        <v/>
      </c>
      <c r="N74" s="949"/>
      <c r="O74" s="74"/>
      <c r="P74" s="12"/>
      <c r="R74" s="741"/>
      <c r="T74" s="177" t="str">
        <f t="shared" si="16"/>
        <v/>
      </c>
      <c r="U74" s="114" t="str">
        <f t="shared" si="48"/>
        <v/>
      </c>
      <c r="V74" s="115" t="str">
        <f t="shared" si="17"/>
        <v/>
      </c>
      <c r="W74" s="113" t="str">
        <f t="shared" si="17"/>
        <v/>
      </c>
      <c r="X74" s="93" t="str">
        <f t="shared" si="17"/>
        <v/>
      </c>
      <c r="Y74" s="343"/>
      <c r="Z74" s="343"/>
      <c r="AA74" s="343"/>
      <c r="AB74" s="94" t="str">
        <f t="shared" si="18"/>
        <v/>
      </c>
      <c r="AC74" s="117" t="str">
        <f t="shared" si="19"/>
        <v/>
      </c>
      <c r="AD74" s="115" t="str">
        <f t="shared" si="49"/>
        <v/>
      </c>
      <c r="AE74" s="179" t="str">
        <f t="shared" si="50"/>
        <v/>
      </c>
      <c r="AF74" s="113" t="str">
        <f t="shared" si="20"/>
        <v/>
      </c>
      <c r="AG74" s="114" t="str">
        <f>IF(D74="","",VLOOKUP(F74,'9. All Habitats + Multipliers'!$C$4:$K$102,5,FALSE))</f>
        <v/>
      </c>
      <c r="AH74" s="115" t="str">
        <f>IF(AG74="","",VLOOKUP(AG74,'11. Lists'!$B$47:$D$49,2,FALSE))</f>
        <v/>
      </c>
      <c r="AI74" s="114" t="str">
        <f t="shared" si="21"/>
        <v/>
      </c>
      <c r="AJ74" s="477" t="str">
        <f>IF(AI74="","",VLOOKUP(AI74,'11. Lists'!$F$47:$G$51,2,FALSE))</f>
        <v/>
      </c>
      <c r="AK74" s="478"/>
      <c r="AL74" s="478"/>
      <c r="AM74" s="478"/>
      <c r="AN74" s="477" t="str">
        <f t="shared" si="22"/>
        <v/>
      </c>
      <c r="AO74" s="116" t="str">
        <f>IF(AN74="","",VLOOKUP(AN74,'11. Lists'!$F$36:$H$38,2,FALSE))</f>
        <v/>
      </c>
      <c r="AP74" s="115" t="str">
        <f>IF(AN74="","",VLOOKUP(AN74,'11. Lists'!$F$36:$H$38,3,FALSE))</f>
        <v/>
      </c>
      <c r="AQ74" s="114" t="str">
        <f>IF(D74="","",IF(AX74="Distinctiveness","N/A",VLOOKUP(F74,'10. Condition and Temporal'!$B$6:$L$103,11,FALSE)))</f>
        <v/>
      </c>
      <c r="AR74" s="118" t="str">
        <f>IF(AQ74="","",IF(AQ74="N/A","1",VLOOKUP(AQ74,'11. Lists'!$I$47:$K$80,3,FALSE)))</f>
        <v/>
      </c>
      <c r="AS74" s="134" t="str">
        <f>IF(D74="","",IF(AX74="Condition","N/A",VLOOKUP(F74,'10. Condition and Temporal'!$B$6:$M$106,12,FALSE)))</f>
        <v/>
      </c>
      <c r="AT74" s="118" t="str">
        <f>IF(AS74="","",IF(AS74="N/A","1",VLOOKUP(AS74,'11. Lists'!$I$47:$K$80,3,FALSE)))</f>
        <v/>
      </c>
      <c r="AU74" s="117" t="str">
        <f>IF(D74="","",VLOOKUP(F74,'9. All Habitats + Multipliers'!$C$4:$K$102,8,FALSE))</f>
        <v/>
      </c>
      <c r="AV74" s="115" t="str">
        <f>IF(AU74="","",VLOOKUP(AU74,'11. Lists'!$J$35:$K$38,2,FALSE))</f>
        <v/>
      </c>
      <c r="AW74" s="114" t="str">
        <f>IF(D74="","",VLOOKUP(D74,'10. Condition and Temporal'!$B$6:$M$103,4,FALSE))</f>
        <v/>
      </c>
      <c r="AX74" s="459" t="str">
        <f t="shared" si="23"/>
        <v/>
      </c>
      <c r="AY74" s="482" t="str">
        <v>1</v>
      </c>
      <c r="AZ74" s="479" t="str">
        <v>1</v>
      </c>
      <c r="BA74" s="93">
        <v>9</v>
      </c>
      <c r="BB74" s="95" t="str">
        <f t="shared" si="24"/>
        <v/>
      </c>
      <c r="BC74" s="95" t="str">
        <f t="shared" si="25"/>
        <v/>
      </c>
      <c r="BD74" s="95" t="str">
        <f t="shared" si="26"/>
        <v/>
      </c>
      <c r="BE74" s="95" t="str">
        <f t="shared" si="27"/>
        <v/>
      </c>
      <c r="BF74" s="95" t="str">
        <f t="shared" si="28"/>
        <v/>
      </c>
      <c r="BG74" s="95" t="str">
        <f t="shared" si="29"/>
        <v/>
      </c>
      <c r="BH74" s="95" t="str">
        <f t="shared" si="30"/>
        <v/>
      </c>
      <c r="BI74" s="95" t="str">
        <f t="shared" si="31"/>
        <v/>
      </c>
      <c r="BJ74" s="95" t="str">
        <f t="shared" si="32"/>
        <v/>
      </c>
      <c r="BK74" s="95" t="str">
        <f t="shared" si="33"/>
        <v/>
      </c>
      <c r="BL74" s="95" t="str">
        <f t="shared" si="34"/>
        <v/>
      </c>
      <c r="BM74" s="95" t="str">
        <f t="shared" si="35"/>
        <v/>
      </c>
      <c r="BN74" s="95" t="str">
        <f t="shared" si="36"/>
        <v/>
      </c>
      <c r="BO74" s="95" t="str">
        <f t="shared" si="37"/>
        <v/>
      </c>
      <c r="BP74" s="95" t="str">
        <f t="shared" si="38"/>
        <v/>
      </c>
      <c r="BQ74" s="95" t="str">
        <f t="shared" si="39"/>
        <v/>
      </c>
      <c r="BR74" s="95" t="str">
        <f t="shared" si="40"/>
        <v/>
      </c>
      <c r="BS74" s="95" t="str">
        <f t="shared" si="41"/>
        <v/>
      </c>
      <c r="BT74" s="95" t="str">
        <f t="shared" si="42"/>
        <v/>
      </c>
      <c r="BU74" s="94" t="str">
        <f t="shared" si="43"/>
        <v/>
      </c>
      <c r="BV74" s="184" t="str">
        <f t="shared" si="51"/>
        <v/>
      </c>
      <c r="BW74" s="95" t="s">
        <v>162</v>
      </c>
      <c r="BX74" s="95">
        <f>BJ64</f>
        <v>0</v>
      </c>
    </row>
    <row r="75" spans="1:76" s="25" customFormat="1" ht="15.75" customHeight="1" x14ac:dyDescent="0.3">
      <c r="B75" s="264">
        <v>10</v>
      </c>
      <c r="C75" s="119" t="str">
        <f t="shared" si="13"/>
        <v/>
      </c>
      <c r="D75" s="208" t="str">
        <f t="shared" si="44"/>
        <v/>
      </c>
      <c r="E75" s="166" t="str">
        <f t="shared" si="14"/>
        <v/>
      </c>
      <c r="F75" s="826"/>
      <c r="G75" s="827"/>
      <c r="H75" s="163" t="str">
        <f t="shared" si="15"/>
        <v/>
      </c>
      <c r="I75" s="317" t="str">
        <f t="shared" si="45"/>
        <v/>
      </c>
      <c r="J75" s="952" t="str">
        <f>IF(F75="","",VLOOKUP(F75,'10. Condition and Temporal'!$B$6:$F$103,5,FALSE))</f>
        <v/>
      </c>
      <c r="K75" s="953"/>
      <c r="L75" s="294" t="str">
        <f t="shared" si="46"/>
        <v/>
      </c>
      <c r="M75" s="948" t="str">
        <f t="shared" si="47"/>
        <v/>
      </c>
      <c r="N75" s="949"/>
      <c r="O75" s="74"/>
      <c r="P75" s="12"/>
      <c r="R75" s="741"/>
      <c r="T75" s="177" t="str">
        <f t="shared" si="16"/>
        <v/>
      </c>
      <c r="U75" s="114" t="str">
        <f t="shared" si="48"/>
        <v/>
      </c>
      <c r="V75" s="115" t="str">
        <f t="shared" si="17"/>
        <v/>
      </c>
      <c r="W75" s="113" t="str">
        <f t="shared" si="17"/>
        <v/>
      </c>
      <c r="X75" s="93" t="str">
        <f t="shared" si="17"/>
        <v/>
      </c>
      <c r="Y75" s="343"/>
      <c r="Z75" s="343"/>
      <c r="AA75" s="343"/>
      <c r="AB75" s="94" t="str">
        <f t="shared" si="18"/>
        <v/>
      </c>
      <c r="AC75" s="117" t="str">
        <f t="shared" si="19"/>
        <v/>
      </c>
      <c r="AD75" s="115" t="str">
        <f t="shared" si="49"/>
        <v/>
      </c>
      <c r="AE75" s="179" t="str">
        <f t="shared" si="50"/>
        <v/>
      </c>
      <c r="AF75" s="113" t="str">
        <f t="shared" si="20"/>
        <v/>
      </c>
      <c r="AG75" s="114" t="str">
        <f>IF(D75="","",VLOOKUP(F75,'9. All Habitats + Multipliers'!$C$4:$K$102,5,FALSE))</f>
        <v/>
      </c>
      <c r="AH75" s="115" t="str">
        <f>IF(AG75="","",VLOOKUP(AG75,'11. Lists'!$B$47:$D$49,2,FALSE))</f>
        <v/>
      </c>
      <c r="AI75" s="114" t="str">
        <f t="shared" si="21"/>
        <v/>
      </c>
      <c r="AJ75" s="477" t="str">
        <f>IF(AI75="","",VLOOKUP(AI75,'11. Lists'!$F$47:$G$51,2,FALSE))</f>
        <v/>
      </c>
      <c r="AK75" s="478"/>
      <c r="AL75" s="478"/>
      <c r="AM75" s="478"/>
      <c r="AN75" s="477" t="str">
        <f t="shared" si="22"/>
        <v/>
      </c>
      <c r="AO75" s="116" t="str">
        <f>IF(AN75="","",VLOOKUP(AN75,'11. Lists'!$F$36:$H$38,2,FALSE))</f>
        <v/>
      </c>
      <c r="AP75" s="115" t="str">
        <f>IF(AN75="","",VLOOKUP(AN75,'11. Lists'!$F$36:$H$38,3,FALSE))</f>
        <v/>
      </c>
      <c r="AQ75" s="114" t="str">
        <f>IF(D75="","",IF(AX75="Distinctiveness","N/A",VLOOKUP(F75,'10. Condition and Temporal'!$B$6:$L$103,11,FALSE)))</f>
        <v/>
      </c>
      <c r="AR75" s="118" t="str">
        <f>IF(AQ75="","",IF(AQ75="N/A","1",VLOOKUP(AQ75,'11. Lists'!$I$47:$K$80,3,FALSE)))</f>
        <v/>
      </c>
      <c r="AS75" s="134" t="str">
        <f>IF(D75="","",IF(AX75="Condition","N/A",VLOOKUP(F75,'10. Condition and Temporal'!$B$6:$M$106,12,FALSE)))</f>
        <v/>
      </c>
      <c r="AT75" s="118" t="str">
        <f>IF(AS75="","",IF(AS75="N/A","1",VLOOKUP(AS75,'11. Lists'!$I$47:$K$80,3,FALSE)))</f>
        <v/>
      </c>
      <c r="AU75" s="117" t="str">
        <f>IF(D75="","",VLOOKUP(F75,'9. All Habitats + Multipliers'!$C$4:$K$102,8,FALSE))</f>
        <v/>
      </c>
      <c r="AV75" s="115" t="str">
        <f>IF(AU75="","",VLOOKUP(AU75,'11. Lists'!$J$35:$K$38,2,FALSE))</f>
        <v/>
      </c>
      <c r="AW75" s="114" t="str">
        <f>IF(D75="","",VLOOKUP(D75,'10. Condition and Temporal'!$B$6:$M$103,4,FALSE))</f>
        <v/>
      </c>
      <c r="AX75" s="459" t="str">
        <f t="shared" si="23"/>
        <v/>
      </c>
      <c r="AY75" s="482" t="str">
        <v>1</v>
      </c>
      <c r="AZ75" s="479" t="str">
        <v>1</v>
      </c>
      <c r="BA75" s="93">
        <v>10</v>
      </c>
      <c r="BB75" s="95" t="str">
        <f t="shared" si="24"/>
        <v/>
      </c>
      <c r="BC75" s="95" t="str">
        <f t="shared" si="25"/>
        <v/>
      </c>
      <c r="BD75" s="95" t="str">
        <f t="shared" si="26"/>
        <v/>
      </c>
      <c r="BE75" s="95" t="str">
        <f t="shared" si="27"/>
        <v/>
      </c>
      <c r="BF75" s="95" t="str">
        <f t="shared" si="28"/>
        <v/>
      </c>
      <c r="BG75" s="95" t="str">
        <f t="shared" si="29"/>
        <v/>
      </c>
      <c r="BH75" s="95" t="str">
        <f t="shared" si="30"/>
        <v/>
      </c>
      <c r="BI75" s="95" t="str">
        <f t="shared" si="31"/>
        <v/>
      </c>
      <c r="BJ75" s="95" t="str">
        <f t="shared" si="32"/>
        <v/>
      </c>
      <c r="BK75" s="95" t="str">
        <f t="shared" si="33"/>
        <v/>
      </c>
      <c r="BL75" s="95" t="str">
        <f t="shared" si="34"/>
        <v/>
      </c>
      <c r="BM75" s="95" t="str">
        <f t="shared" si="35"/>
        <v/>
      </c>
      <c r="BN75" s="95" t="str">
        <f t="shared" si="36"/>
        <v/>
      </c>
      <c r="BO75" s="95" t="str">
        <f t="shared" si="37"/>
        <v/>
      </c>
      <c r="BP75" s="95" t="str">
        <f t="shared" si="38"/>
        <v/>
      </c>
      <c r="BQ75" s="95" t="str">
        <f t="shared" si="39"/>
        <v/>
      </c>
      <c r="BR75" s="95" t="str">
        <f t="shared" si="40"/>
        <v/>
      </c>
      <c r="BS75" s="95" t="str">
        <f t="shared" si="41"/>
        <v/>
      </c>
      <c r="BT75" s="95" t="str">
        <f t="shared" si="42"/>
        <v/>
      </c>
      <c r="BU75" s="94" t="str">
        <f t="shared" si="43"/>
        <v/>
      </c>
      <c r="BV75" s="184" t="str">
        <f t="shared" si="51"/>
        <v/>
      </c>
      <c r="BW75" s="95" t="s">
        <v>163</v>
      </c>
      <c r="BX75" s="95">
        <f>BK64</f>
        <v>0</v>
      </c>
    </row>
    <row r="76" spans="1:76" s="25" customFormat="1" ht="15.6" x14ac:dyDescent="0.3">
      <c r="B76" s="264">
        <v>11</v>
      </c>
      <c r="C76" s="119" t="str">
        <f t="shared" si="13"/>
        <v/>
      </c>
      <c r="D76" s="208" t="str">
        <f t="shared" si="44"/>
        <v/>
      </c>
      <c r="E76" s="166" t="str">
        <f t="shared" si="14"/>
        <v/>
      </c>
      <c r="F76" s="826"/>
      <c r="G76" s="827"/>
      <c r="H76" s="163" t="str">
        <f t="shared" si="15"/>
        <v/>
      </c>
      <c r="I76" s="317" t="str">
        <f t="shared" si="45"/>
        <v/>
      </c>
      <c r="J76" s="952" t="str">
        <f>IF(F76="","",VLOOKUP(F76,'10. Condition and Temporal'!$B$6:$F$103,5,FALSE))</f>
        <v/>
      </c>
      <c r="K76" s="953"/>
      <c r="L76" s="294" t="str">
        <f t="shared" si="46"/>
        <v/>
      </c>
      <c r="M76" s="948" t="str">
        <f t="shared" si="47"/>
        <v/>
      </c>
      <c r="N76" s="949"/>
      <c r="O76" s="74"/>
      <c r="P76" s="12"/>
      <c r="R76" s="741"/>
      <c r="T76" s="177" t="str">
        <f t="shared" si="16"/>
        <v/>
      </c>
      <c r="U76" s="114" t="str">
        <f t="shared" si="48"/>
        <v/>
      </c>
      <c r="V76" s="115" t="str">
        <f t="shared" si="17"/>
        <v/>
      </c>
      <c r="W76" s="113" t="str">
        <f t="shared" si="17"/>
        <v/>
      </c>
      <c r="X76" s="93" t="str">
        <f t="shared" si="17"/>
        <v/>
      </c>
      <c r="Y76" s="343"/>
      <c r="Z76" s="343"/>
      <c r="AA76" s="343"/>
      <c r="AB76" s="94" t="str">
        <f t="shared" si="18"/>
        <v/>
      </c>
      <c r="AC76" s="117" t="str">
        <f t="shared" si="19"/>
        <v/>
      </c>
      <c r="AD76" s="115" t="str">
        <f t="shared" si="49"/>
        <v/>
      </c>
      <c r="AE76" s="179" t="str">
        <f t="shared" si="50"/>
        <v/>
      </c>
      <c r="AF76" s="113" t="str">
        <f t="shared" si="20"/>
        <v/>
      </c>
      <c r="AG76" s="114" t="str">
        <f>IF(D76="","",VLOOKUP(F76,'9. All Habitats + Multipliers'!$C$4:$K$102,5,FALSE))</f>
        <v/>
      </c>
      <c r="AH76" s="115" t="str">
        <f>IF(AG76="","",VLOOKUP(AG76,'11. Lists'!$B$47:$D$49,2,FALSE))</f>
        <v/>
      </c>
      <c r="AI76" s="114" t="str">
        <f t="shared" si="21"/>
        <v/>
      </c>
      <c r="AJ76" s="477" t="str">
        <f>IF(AI76="","",VLOOKUP(AI76,'11. Lists'!$F$47:$G$51,2,FALSE))</f>
        <v/>
      </c>
      <c r="AK76" s="478"/>
      <c r="AL76" s="478"/>
      <c r="AM76" s="478"/>
      <c r="AN76" s="477" t="str">
        <f t="shared" si="22"/>
        <v/>
      </c>
      <c r="AO76" s="116" t="str">
        <f>IF(AN76="","",VLOOKUP(AN76,'11. Lists'!$F$36:$H$38,2,FALSE))</f>
        <v/>
      </c>
      <c r="AP76" s="115" t="str">
        <f>IF(AN76="","",VLOOKUP(AN76,'11. Lists'!$F$36:$H$38,3,FALSE))</f>
        <v/>
      </c>
      <c r="AQ76" s="114" t="str">
        <f>IF(D76="","",IF(AX76="Distinctiveness","N/A",VLOOKUP(F76,'10. Condition and Temporal'!$B$6:$L$103,11,FALSE)))</f>
        <v/>
      </c>
      <c r="AR76" s="118" t="str">
        <f>IF(AQ76="","",IF(AQ76="N/A","1",VLOOKUP(AQ76,'11. Lists'!$I$47:$K$80,3,FALSE)))</f>
        <v/>
      </c>
      <c r="AS76" s="134" t="str">
        <f>IF(D76="","",IF(AX76="Condition","N/A",VLOOKUP(F76,'10. Condition and Temporal'!$B$6:$M$106,12,FALSE)))</f>
        <v/>
      </c>
      <c r="AT76" s="118" t="str">
        <f>IF(AS76="","",IF(AS76="N/A","1",VLOOKUP(AS76,'11. Lists'!$I$47:$K$80,3,FALSE)))</f>
        <v/>
      </c>
      <c r="AU76" s="117" t="str">
        <f>IF(D76="","",VLOOKUP(F76,'9. All Habitats + Multipliers'!$C$4:$K$102,8,FALSE))</f>
        <v/>
      </c>
      <c r="AV76" s="115" t="str">
        <f>IF(AU76="","",VLOOKUP(AU76,'11. Lists'!$J$35:$K$38,2,FALSE))</f>
        <v/>
      </c>
      <c r="AW76" s="114" t="str">
        <f>IF(D76="","",VLOOKUP(D76,'10. Condition and Temporal'!$B$6:$M$103,4,FALSE))</f>
        <v/>
      </c>
      <c r="AX76" s="459" t="str">
        <f t="shared" si="23"/>
        <v/>
      </c>
      <c r="AY76" s="482" t="str">
        <v>1</v>
      </c>
      <c r="AZ76" s="479" t="str">
        <v>1</v>
      </c>
      <c r="BA76" s="93">
        <v>11</v>
      </c>
      <c r="BB76" s="95" t="str">
        <f t="shared" si="24"/>
        <v/>
      </c>
      <c r="BC76" s="95" t="str">
        <f t="shared" si="25"/>
        <v/>
      </c>
      <c r="BD76" s="95" t="str">
        <f t="shared" si="26"/>
        <v/>
      </c>
      <c r="BE76" s="95" t="str">
        <f t="shared" si="27"/>
        <v/>
      </c>
      <c r="BF76" s="95" t="str">
        <f t="shared" si="28"/>
        <v/>
      </c>
      <c r="BG76" s="95" t="str">
        <f t="shared" si="29"/>
        <v/>
      </c>
      <c r="BH76" s="95" t="str">
        <f t="shared" si="30"/>
        <v/>
      </c>
      <c r="BI76" s="95" t="str">
        <f t="shared" si="31"/>
        <v/>
      </c>
      <c r="BJ76" s="95" t="str">
        <f t="shared" si="32"/>
        <v/>
      </c>
      <c r="BK76" s="95" t="str">
        <f t="shared" si="33"/>
        <v/>
      </c>
      <c r="BL76" s="95" t="str">
        <f t="shared" si="34"/>
        <v/>
      </c>
      <c r="BM76" s="95" t="str">
        <f t="shared" si="35"/>
        <v/>
      </c>
      <c r="BN76" s="95" t="str">
        <f t="shared" si="36"/>
        <v/>
      </c>
      <c r="BO76" s="95" t="str">
        <f t="shared" si="37"/>
        <v/>
      </c>
      <c r="BP76" s="95" t="str">
        <f t="shared" si="38"/>
        <v/>
      </c>
      <c r="BQ76" s="95" t="str">
        <f t="shared" si="39"/>
        <v/>
      </c>
      <c r="BR76" s="95" t="str">
        <f t="shared" si="40"/>
        <v/>
      </c>
      <c r="BS76" s="95" t="str">
        <f t="shared" si="41"/>
        <v/>
      </c>
      <c r="BT76" s="95" t="str">
        <f t="shared" si="42"/>
        <v/>
      </c>
      <c r="BU76" s="94" t="str">
        <f t="shared" si="43"/>
        <v/>
      </c>
      <c r="BV76" s="184" t="str">
        <f t="shared" si="51"/>
        <v/>
      </c>
      <c r="BW76" s="95" t="s">
        <v>164</v>
      </c>
      <c r="BX76" s="95">
        <f>BL64</f>
        <v>0</v>
      </c>
    </row>
    <row r="77" spans="1:76" s="25" customFormat="1" ht="15.75" customHeight="1" x14ac:dyDescent="0.3">
      <c r="B77" s="264">
        <v>12</v>
      </c>
      <c r="C77" s="119" t="str">
        <f t="shared" si="13"/>
        <v/>
      </c>
      <c r="D77" s="208" t="str">
        <f t="shared" si="44"/>
        <v/>
      </c>
      <c r="E77" s="166" t="str">
        <f t="shared" si="14"/>
        <v/>
      </c>
      <c r="F77" s="826"/>
      <c r="G77" s="827"/>
      <c r="H77" s="163" t="str">
        <f t="shared" si="15"/>
        <v/>
      </c>
      <c r="I77" s="317" t="str">
        <f t="shared" si="45"/>
        <v/>
      </c>
      <c r="J77" s="952" t="str">
        <f>IF(F77="","",VLOOKUP(F77,'10. Condition and Temporal'!$B$6:$F$103,5,FALSE))</f>
        <v/>
      </c>
      <c r="K77" s="953"/>
      <c r="L77" s="294" t="str">
        <f t="shared" si="46"/>
        <v/>
      </c>
      <c r="M77" s="948" t="str">
        <f t="shared" si="47"/>
        <v/>
      </c>
      <c r="N77" s="949"/>
      <c r="O77" s="74"/>
      <c r="P77" s="12"/>
      <c r="R77" s="741"/>
      <c r="T77" s="177" t="str">
        <f t="shared" si="16"/>
        <v/>
      </c>
      <c r="U77" s="114" t="str">
        <f t="shared" si="48"/>
        <v/>
      </c>
      <c r="V77" s="115" t="str">
        <f t="shared" si="17"/>
        <v/>
      </c>
      <c r="W77" s="113" t="str">
        <f t="shared" si="17"/>
        <v/>
      </c>
      <c r="X77" s="93" t="str">
        <f t="shared" si="17"/>
        <v/>
      </c>
      <c r="Y77" s="343"/>
      <c r="Z77" s="343"/>
      <c r="AA77" s="343"/>
      <c r="AB77" s="94" t="str">
        <f t="shared" si="18"/>
        <v/>
      </c>
      <c r="AC77" s="117" t="str">
        <f t="shared" si="19"/>
        <v/>
      </c>
      <c r="AD77" s="115" t="str">
        <f t="shared" si="49"/>
        <v/>
      </c>
      <c r="AE77" s="179" t="str">
        <f t="shared" si="50"/>
        <v/>
      </c>
      <c r="AF77" s="113" t="str">
        <f t="shared" si="20"/>
        <v/>
      </c>
      <c r="AG77" s="114" t="str">
        <f>IF(D77="","",VLOOKUP(F77,'9. All Habitats + Multipliers'!$C$4:$K$102,5,FALSE))</f>
        <v/>
      </c>
      <c r="AH77" s="115" t="str">
        <f>IF(AG77="","",VLOOKUP(AG77,'11. Lists'!$B$47:$D$49,2,FALSE))</f>
        <v/>
      </c>
      <c r="AI77" s="114" t="str">
        <f t="shared" si="21"/>
        <v/>
      </c>
      <c r="AJ77" s="477" t="str">
        <f>IF(AI77="","",VLOOKUP(AI77,'11. Lists'!$F$47:$G$51,2,FALSE))</f>
        <v/>
      </c>
      <c r="AK77" s="478"/>
      <c r="AL77" s="478"/>
      <c r="AM77" s="478"/>
      <c r="AN77" s="477" t="str">
        <f t="shared" si="22"/>
        <v/>
      </c>
      <c r="AO77" s="116" t="str">
        <f>IF(AN77="","",VLOOKUP(AN77,'11. Lists'!$F$36:$H$38,2,FALSE))</f>
        <v/>
      </c>
      <c r="AP77" s="115" t="str">
        <f>IF(AN77="","",VLOOKUP(AN77,'11. Lists'!$F$36:$H$38,3,FALSE))</f>
        <v/>
      </c>
      <c r="AQ77" s="114" t="str">
        <f>IF(D77="","",IF(AX77="Distinctiveness","N/A",VLOOKUP(F77,'10. Condition and Temporal'!$B$6:$L$103,11,FALSE)))</f>
        <v/>
      </c>
      <c r="AR77" s="118" t="str">
        <f>IF(AQ77="","",IF(AQ77="N/A","1",VLOOKUP(AQ77,'11. Lists'!$I$47:$K$80,3,FALSE)))</f>
        <v/>
      </c>
      <c r="AS77" s="134" t="str">
        <f>IF(D77="","",IF(AX77="Condition","N/A",VLOOKUP(F77,'10. Condition and Temporal'!$B$6:$M$106,12,FALSE)))</f>
        <v/>
      </c>
      <c r="AT77" s="118" t="str">
        <f>IF(AS77="","",IF(AS77="N/A","1",VLOOKUP(AS77,'11. Lists'!$I$47:$K$80,3,FALSE)))</f>
        <v/>
      </c>
      <c r="AU77" s="117" t="str">
        <f>IF(D77="","",VLOOKUP(F77,'9. All Habitats + Multipliers'!$C$4:$K$102,8,FALSE))</f>
        <v/>
      </c>
      <c r="AV77" s="115" t="str">
        <f>IF(AU77="","",VLOOKUP(AU77,'11. Lists'!$J$35:$K$38,2,FALSE))</f>
        <v/>
      </c>
      <c r="AW77" s="114" t="str">
        <f>IF(D77="","",VLOOKUP(D77,'10. Condition and Temporal'!$B$6:$M$103,4,FALSE))</f>
        <v/>
      </c>
      <c r="AX77" s="459" t="str">
        <f t="shared" si="23"/>
        <v/>
      </c>
      <c r="AY77" s="482" t="str">
        <v>1</v>
      </c>
      <c r="AZ77" s="479" t="str">
        <v>1</v>
      </c>
      <c r="BA77" s="93">
        <v>12</v>
      </c>
      <c r="BB77" s="95" t="str">
        <f t="shared" si="24"/>
        <v/>
      </c>
      <c r="BC77" s="95" t="str">
        <f t="shared" si="25"/>
        <v/>
      </c>
      <c r="BD77" s="95" t="str">
        <f t="shared" si="26"/>
        <v/>
      </c>
      <c r="BE77" s="95" t="str">
        <f t="shared" si="27"/>
        <v/>
      </c>
      <c r="BF77" s="95" t="str">
        <f t="shared" si="28"/>
        <v/>
      </c>
      <c r="BG77" s="95" t="str">
        <f t="shared" si="29"/>
        <v/>
      </c>
      <c r="BH77" s="95" t="str">
        <f t="shared" si="30"/>
        <v/>
      </c>
      <c r="BI77" s="95" t="str">
        <f t="shared" si="31"/>
        <v/>
      </c>
      <c r="BJ77" s="95" t="str">
        <f t="shared" si="32"/>
        <v/>
      </c>
      <c r="BK77" s="95" t="str">
        <f t="shared" si="33"/>
        <v/>
      </c>
      <c r="BL77" s="95" t="str">
        <f t="shared" si="34"/>
        <v/>
      </c>
      <c r="BM77" s="95" t="str">
        <f t="shared" si="35"/>
        <v/>
      </c>
      <c r="BN77" s="95" t="str">
        <f t="shared" si="36"/>
        <v/>
      </c>
      <c r="BO77" s="95" t="str">
        <f t="shared" si="37"/>
        <v/>
      </c>
      <c r="BP77" s="95" t="str">
        <f t="shared" si="38"/>
        <v/>
      </c>
      <c r="BQ77" s="95" t="str">
        <f t="shared" si="39"/>
        <v/>
      </c>
      <c r="BR77" s="95" t="str">
        <f t="shared" si="40"/>
        <v/>
      </c>
      <c r="BS77" s="95" t="str">
        <f t="shared" si="41"/>
        <v/>
      </c>
      <c r="BT77" s="95" t="str">
        <f t="shared" si="42"/>
        <v/>
      </c>
      <c r="BU77" s="94" t="str">
        <f t="shared" si="43"/>
        <v/>
      </c>
      <c r="BV77" s="184" t="str">
        <f t="shared" si="51"/>
        <v/>
      </c>
      <c r="BW77" s="95" t="s">
        <v>165</v>
      </c>
      <c r="BX77" s="95">
        <f>BM64</f>
        <v>0</v>
      </c>
    </row>
    <row r="78" spans="1:76" s="25" customFormat="1" ht="15.75" customHeight="1" x14ac:dyDescent="0.3">
      <c r="B78" s="264">
        <v>13</v>
      </c>
      <c r="C78" s="119" t="str">
        <f t="shared" si="13"/>
        <v/>
      </c>
      <c r="D78" s="208" t="str">
        <f t="shared" si="44"/>
        <v/>
      </c>
      <c r="E78" s="166" t="str">
        <f t="shared" si="14"/>
        <v/>
      </c>
      <c r="F78" s="826"/>
      <c r="G78" s="827"/>
      <c r="H78" s="163" t="str">
        <f t="shared" si="15"/>
        <v/>
      </c>
      <c r="I78" s="317" t="str">
        <f t="shared" si="45"/>
        <v/>
      </c>
      <c r="J78" s="952" t="str">
        <f>IF(F78="","",VLOOKUP(F78,'10. Condition and Temporal'!$B$6:$F$103,5,FALSE))</f>
        <v/>
      </c>
      <c r="K78" s="953"/>
      <c r="L78" s="294" t="str">
        <f t="shared" si="46"/>
        <v/>
      </c>
      <c r="M78" s="948" t="str">
        <f t="shared" si="47"/>
        <v/>
      </c>
      <c r="N78" s="949"/>
      <c r="O78" s="74"/>
      <c r="P78" s="12"/>
      <c r="R78" s="741"/>
      <c r="T78" s="177" t="str">
        <f t="shared" si="16"/>
        <v/>
      </c>
      <c r="U78" s="114" t="str">
        <f t="shared" si="48"/>
        <v/>
      </c>
      <c r="V78" s="115" t="str">
        <f t="shared" si="17"/>
        <v/>
      </c>
      <c r="W78" s="113" t="str">
        <f t="shared" si="17"/>
        <v/>
      </c>
      <c r="X78" s="93" t="str">
        <f t="shared" si="17"/>
        <v/>
      </c>
      <c r="Y78" s="343"/>
      <c r="Z78" s="343"/>
      <c r="AA78" s="343"/>
      <c r="AB78" s="94" t="str">
        <f t="shared" si="18"/>
        <v/>
      </c>
      <c r="AC78" s="117" t="str">
        <f t="shared" si="19"/>
        <v/>
      </c>
      <c r="AD78" s="115" t="str">
        <f t="shared" si="49"/>
        <v/>
      </c>
      <c r="AE78" s="179" t="str">
        <f t="shared" si="50"/>
        <v/>
      </c>
      <c r="AF78" s="113" t="str">
        <f t="shared" si="20"/>
        <v/>
      </c>
      <c r="AG78" s="114" t="str">
        <f>IF(D78="","",VLOOKUP(F78,'9. All Habitats + Multipliers'!$C$4:$K$102,5,FALSE))</f>
        <v/>
      </c>
      <c r="AH78" s="115" t="str">
        <f>IF(AG78="","",VLOOKUP(AG78,'11. Lists'!$B$47:$D$49,2,FALSE))</f>
        <v/>
      </c>
      <c r="AI78" s="114" t="str">
        <f t="shared" si="21"/>
        <v/>
      </c>
      <c r="AJ78" s="477" t="str">
        <f>IF(AI78="","",VLOOKUP(AI78,'11. Lists'!$F$47:$G$51,2,FALSE))</f>
        <v/>
      </c>
      <c r="AK78" s="478"/>
      <c r="AL78" s="478"/>
      <c r="AM78" s="478"/>
      <c r="AN78" s="477" t="str">
        <f t="shared" si="22"/>
        <v/>
      </c>
      <c r="AO78" s="116" t="str">
        <f>IF(AN78="","",VLOOKUP(AN78,'11. Lists'!$F$36:$H$38,2,FALSE))</f>
        <v/>
      </c>
      <c r="AP78" s="115" t="str">
        <f>IF(AN78="","",VLOOKUP(AN78,'11. Lists'!$F$36:$H$38,3,FALSE))</f>
        <v/>
      </c>
      <c r="AQ78" s="114" t="str">
        <f>IF(D78="","",IF(AX78="Distinctiveness","N/A",VLOOKUP(F78,'10. Condition and Temporal'!$B$6:$L$103,11,FALSE)))</f>
        <v/>
      </c>
      <c r="AR78" s="118" t="str">
        <f>IF(AQ78="","",IF(AQ78="N/A","1",VLOOKUP(AQ78,'11. Lists'!$I$47:$K$80,3,FALSE)))</f>
        <v/>
      </c>
      <c r="AS78" s="134" t="str">
        <f>IF(D78="","",IF(AX78="Condition","N/A",VLOOKUP(F78,'10. Condition and Temporal'!$B$6:$M$106,12,FALSE)))</f>
        <v/>
      </c>
      <c r="AT78" s="118" t="str">
        <f>IF(AS78="","",IF(AS78="N/A","1",VLOOKUP(AS78,'11. Lists'!$I$47:$K$80,3,FALSE)))</f>
        <v/>
      </c>
      <c r="AU78" s="117" t="str">
        <f>IF(D78="","",VLOOKUP(F78,'9. All Habitats + Multipliers'!$C$4:$K$102,8,FALSE))</f>
        <v/>
      </c>
      <c r="AV78" s="115" t="str">
        <f>IF(AU78="","",VLOOKUP(AU78,'11. Lists'!$J$35:$K$38,2,FALSE))</f>
        <v/>
      </c>
      <c r="AW78" s="114" t="str">
        <f>IF(D78="","",VLOOKUP(D78,'10. Condition and Temporal'!$B$6:$M$103,4,FALSE))</f>
        <v/>
      </c>
      <c r="AX78" s="459" t="str">
        <f t="shared" si="23"/>
        <v/>
      </c>
      <c r="AY78" s="482" t="str">
        <v>1</v>
      </c>
      <c r="AZ78" s="479" t="str">
        <v>1</v>
      </c>
      <c r="BA78" s="93">
        <v>13</v>
      </c>
      <c r="BB78" s="95" t="str">
        <f t="shared" si="24"/>
        <v/>
      </c>
      <c r="BC78" s="95" t="str">
        <f t="shared" si="25"/>
        <v/>
      </c>
      <c r="BD78" s="95" t="str">
        <f t="shared" si="26"/>
        <v/>
      </c>
      <c r="BE78" s="95" t="str">
        <f t="shared" si="27"/>
        <v/>
      </c>
      <c r="BF78" s="95" t="str">
        <f t="shared" si="28"/>
        <v/>
      </c>
      <c r="BG78" s="95" t="str">
        <f t="shared" si="29"/>
        <v/>
      </c>
      <c r="BH78" s="95" t="str">
        <f t="shared" si="30"/>
        <v/>
      </c>
      <c r="BI78" s="95" t="str">
        <f t="shared" si="31"/>
        <v/>
      </c>
      <c r="BJ78" s="95" t="str">
        <f t="shared" si="32"/>
        <v/>
      </c>
      <c r="BK78" s="95" t="str">
        <f t="shared" si="33"/>
        <v/>
      </c>
      <c r="BL78" s="95" t="str">
        <f t="shared" si="34"/>
        <v/>
      </c>
      <c r="BM78" s="95" t="str">
        <f t="shared" si="35"/>
        <v/>
      </c>
      <c r="BN78" s="95" t="str">
        <f t="shared" si="36"/>
        <v/>
      </c>
      <c r="BO78" s="95" t="str">
        <f t="shared" si="37"/>
        <v/>
      </c>
      <c r="BP78" s="95" t="str">
        <f t="shared" si="38"/>
        <v/>
      </c>
      <c r="BQ78" s="95" t="str">
        <f t="shared" si="39"/>
        <v/>
      </c>
      <c r="BR78" s="95" t="str">
        <f t="shared" si="40"/>
        <v/>
      </c>
      <c r="BS78" s="95" t="str">
        <f t="shared" si="41"/>
        <v/>
      </c>
      <c r="BT78" s="95" t="str">
        <f t="shared" si="42"/>
        <v/>
      </c>
      <c r="BU78" s="94" t="str">
        <f t="shared" si="43"/>
        <v/>
      </c>
      <c r="BV78" s="184" t="str">
        <f t="shared" si="51"/>
        <v/>
      </c>
      <c r="BW78" s="95" t="s">
        <v>166</v>
      </c>
      <c r="BX78" s="95">
        <f>BN64</f>
        <v>0</v>
      </c>
    </row>
    <row r="79" spans="1:76" s="25" customFormat="1" ht="15.6" x14ac:dyDescent="0.3">
      <c r="B79" s="264">
        <v>14</v>
      </c>
      <c r="C79" s="119" t="str">
        <f t="shared" si="13"/>
        <v/>
      </c>
      <c r="D79" s="208" t="str">
        <f t="shared" si="44"/>
        <v/>
      </c>
      <c r="E79" s="166" t="str">
        <f t="shared" si="14"/>
        <v/>
      </c>
      <c r="F79" s="826"/>
      <c r="G79" s="827"/>
      <c r="H79" s="163" t="str">
        <f t="shared" si="15"/>
        <v/>
      </c>
      <c r="I79" s="317" t="str">
        <f t="shared" si="45"/>
        <v/>
      </c>
      <c r="J79" s="952" t="str">
        <f>IF(F79="","",VLOOKUP(F79,'10. Condition and Temporal'!$B$6:$F$103,5,FALSE))</f>
        <v/>
      </c>
      <c r="K79" s="953"/>
      <c r="L79" s="294" t="str">
        <f t="shared" si="46"/>
        <v/>
      </c>
      <c r="M79" s="948" t="str">
        <f t="shared" si="47"/>
        <v/>
      </c>
      <c r="N79" s="949"/>
      <c r="O79" s="74"/>
      <c r="P79" s="12"/>
      <c r="R79" s="741"/>
      <c r="T79" s="177" t="str">
        <f t="shared" si="16"/>
        <v/>
      </c>
      <c r="U79" s="114" t="str">
        <f t="shared" si="48"/>
        <v/>
      </c>
      <c r="V79" s="115" t="str">
        <f t="shared" si="17"/>
        <v/>
      </c>
      <c r="W79" s="113" t="str">
        <f t="shared" si="17"/>
        <v/>
      </c>
      <c r="X79" s="93" t="str">
        <f t="shared" si="17"/>
        <v/>
      </c>
      <c r="Y79" s="343"/>
      <c r="Z79" s="343"/>
      <c r="AA79" s="343"/>
      <c r="AB79" s="94" t="str">
        <f t="shared" si="18"/>
        <v/>
      </c>
      <c r="AC79" s="117" t="str">
        <f t="shared" si="19"/>
        <v/>
      </c>
      <c r="AD79" s="115" t="str">
        <f t="shared" si="49"/>
        <v/>
      </c>
      <c r="AE79" s="179" t="str">
        <f t="shared" si="50"/>
        <v/>
      </c>
      <c r="AF79" s="113" t="str">
        <f t="shared" si="20"/>
        <v/>
      </c>
      <c r="AG79" s="114" t="str">
        <f>IF(D79="","",VLOOKUP(F79,'9. All Habitats + Multipliers'!$C$4:$K$102,5,FALSE))</f>
        <v/>
      </c>
      <c r="AH79" s="115" t="str">
        <f>IF(AG79="","",VLOOKUP(AG79,'11. Lists'!$B$47:$D$49,2,FALSE))</f>
        <v/>
      </c>
      <c r="AI79" s="114" t="str">
        <f t="shared" si="21"/>
        <v/>
      </c>
      <c r="AJ79" s="477" t="str">
        <f>IF(AI79="","",VLOOKUP(AI79,'11. Lists'!$F$47:$G$51,2,FALSE))</f>
        <v/>
      </c>
      <c r="AK79" s="478"/>
      <c r="AL79" s="478"/>
      <c r="AM79" s="478"/>
      <c r="AN79" s="477" t="str">
        <f t="shared" si="22"/>
        <v/>
      </c>
      <c r="AO79" s="116" t="str">
        <f>IF(AN79="","",VLOOKUP(AN79,'11. Lists'!$F$36:$H$38,2,FALSE))</f>
        <v/>
      </c>
      <c r="AP79" s="115" t="str">
        <f>IF(AN79="","",VLOOKUP(AN79,'11. Lists'!$F$36:$H$38,3,FALSE))</f>
        <v/>
      </c>
      <c r="AQ79" s="114" t="str">
        <f>IF(D79="","",IF(AX79="Distinctiveness","N/A",VLOOKUP(F79,'10. Condition and Temporal'!$B$6:$L$103,11,FALSE)))</f>
        <v/>
      </c>
      <c r="AR79" s="118" t="str">
        <f>IF(AQ79="","",IF(AQ79="N/A","1",VLOOKUP(AQ79,'11. Lists'!$I$47:$K$80,3,FALSE)))</f>
        <v/>
      </c>
      <c r="AS79" s="134" t="str">
        <f>IF(D79="","",IF(AX79="Condition","N/A",VLOOKUP(F79,'10. Condition and Temporal'!$B$6:$M$106,12,FALSE)))</f>
        <v/>
      </c>
      <c r="AT79" s="118" t="str">
        <f>IF(AS79="","",IF(AS79="N/A","1",VLOOKUP(AS79,'11. Lists'!$I$47:$K$80,3,FALSE)))</f>
        <v/>
      </c>
      <c r="AU79" s="117" t="str">
        <f>IF(D79="","",VLOOKUP(F79,'9. All Habitats + Multipliers'!$C$4:$K$102,8,FALSE))</f>
        <v/>
      </c>
      <c r="AV79" s="115" t="str">
        <f>IF(AU79="","",VLOOKUP(AU79,'11. Lists'!$J$35:$K$38,2,FALSE))</f>
        <v/>
      </c>
      <c r="AW79" s="114" t="str">
        <f>IF(D79="","",VLOOKUP(D79,'10. Condition and Temporal'!$B$6:$M$103,4,FALSE))</f>
        <v/>
      </c>
      <c r="AX79" s="459" t="str">
        <f t="shared" si="23"/>
        <v/>
      </c>
      <c r="AY79" s="482" t="str">
        <v>1</v>
      </c>
      <c r="AZ79" s="479" t="str">
        <v>1</v>
      </c>
      <c r="BA79" s="93">
        <v>14</v>
      </c>
      <c r="BB79" s="95" t="str">
        <f t="shared" si="24"/>
        <v/>
      </c>
      <c r="BC79" s="95" t="str">
        <f t="shared" si="25"/>
        <v/>
      </c>
      <c r="BD79" s="95" t="str">
        <f t="shared" si="26"/>
        <v/>
      </c>
      <c r="BE79" s="95" t="str">
        <f t="shared" si="27"/>
        <v/>
      </c>
      <c r="BF79" s="95" t="str">
        <f t="shared" si="28"/>
        <v/>
      </c>
      <c r="BG79" s="95" t="str">
        <f t="shared" si="29"/>
        <v/>
      </c>
      <c r="BH79" s="95" t="str">
        <f t="shared" si="30"/>
        <v/>
      </c>
      <c r="BI79" s="95" t="str">
        <f t="shared" si="31"/>
        <v/>
      </c>
      <c r="BJ79" s="95" t="str">
        <f t="shared" si="32"/>
        <v/>
      </c>
      <c r="BK79" s="95" t="str">
        <f t="shared" si="33"/>
        <v/>
      </c>
      <c r="BL79" s="95" t="str">
        <f t="shared" si="34"/>
        <v/>
      </c>
      <c r="BM79" s="95" t="str">
        <f t="shared" si="35"/>
        <v/>
      </c>
      <c r="BN79" s="95" t="str">
        <f t="shared" si="36"/>
        <v/>
      </c>
      <c r="BO79" s="95" t="str">
        <f t="shared" si="37"/>
        <v/>
      </c>
      <c r="BP79" s="95" t="str">
        <f t="shared" si="38"/>
        <v/>
      </c>
      <c r="BQ79" s="95" t="str">
        <f t="shared" si="39"/>
        <v/>
      </c>
      <c r="BR79" s="95" t="str">
        <f t="shared" si="40"/>
        <v/>
      </c>
      <c r="BS79" s="95" t="str">
        <f t="shared" si="41"/>
        <v/>
      </c>
      <c r="BT79" s="95" t="str">
        <f t="shared" si="42"/>
        <v/>
      </c>
      <c r="BU79" s="94" t="str">
        <f t="shared" si="43"/>
        <v/>
      </c>
      <c r="BV79" s="184" t="str">
        <f t="shared" si="51"/>
        <v/>
      </c>
      <c r="BW79" s="95" t="s">
        <v>167</v>
      </c>
      <c r="BX79" s="95">
        <f>BO64</f>
        <v>0</v>
      </c>
    </row>
    <row r="80" spans="1:76" s="25" customFormat="1" ht="15.75" customHeight="1" x14ac:dyDescent="0.3">
      <c r="B80" s="264">
        <v>15</v>
      </c>
      <c r="C80" s="119" t="str">
        <f t="shared" si="13"/>
        <v/>
      </c>
      <c r="D80" s="208" t="str">
        <f t="shared" si="44"/>
        <v/>
      </c>
      <c r="E80" s="166" t="str">
        <f t="shared" si="14"/>
        <v/>
      </c>
      <c r="F80" s="826"/>
      <c r="G80" s="827"/>
      <c r="H80" s="163" t="str">
        <f t="shared" si="15"/>
        <v/>
      </c>
      <c r="I80" s="317" t="str">
        <f t="shared" si="45"/>
        <v/>
      </c>
      <c r="J80" s="952" t="str">
        <f>IF(F80="","",VLOOKUP(F80,'10. Condition and Temporal'!$B$6:$F$103,5,FALSE))</f>
        <v/>
      </c>
      <c r="K80" s="953"/>
      <c r="L80" s="294" t="str">
        <f t="shared" si="46"/>
        <v/>
      </c>
      <c r="M80" s="948" t="str">
        <f t="shared" si="47"/>
        <v/>
      </c>
      <c r="N80" s="949"/>
      <c r="O80" s="74"/>
      <c r="P80" s="12"/>
      <c r="R80" s="741"/>
      <c r="T80" s="177" t="str">
        <f t="shared" si="16"/>
        <v/>
      </c>
      <c r="U80" s="114" t="str">
        <f t="shared" si="48"/>
        <v/>
      </c>
      <c r="V80" s="115" t="str">
        <f t="shared" si="17"/>
        <v/>
      </c>
      <c r="W80" s="113" t="str">
        <f t="shared" si="17"/>
        <v/>
      </c>
      <c r="X80" s="93" t="str">
        <f t="shared" si="17"/>
        <v/>
      </c>
      <c r="Y80" s="343"/>
      <c r="Z80" s="343"/>
      <c r="AA80" s="343"/>
      <c r="AB80" s="94" t="str">
        <f t="shared" si="18"/>
        <v/>
      </c>
      <c r="AC80" s="117" t="str">
        <f t="shared" si="19"/>
        <v/>
      </c>
      <c r="AD80" s="115" t="str">
        <f t="shared" si="49"/>
        <v/>
      </c>
      <c r="AE80" s="179" t="str">
        <f t="shared" si="50"/>
        <v/>
      </c>
      <c r="AF80" s="113" t="str">
        <f t="shared" si="20"/>
        <v/>
      </c>
      <c r="AG80" s="114" t="str">
        <f>IF(D80="","",VLOOKUP(F80,'9. All Habitats + Multipliers'!$C$4:$K$102,5,FALSE))</f>
        <v/>
      </c>
      <c r="AH80" s="115" t="str">
        <f>IF(AG80="","",VLOOKUP(AG80,'11. Lists'!$B$47:$D$49,2,FALSE))</f>
        <v/>
      </c>
      <c r="AI80" s="114" t="str">
        <f t="shared" si="21"/>
        <v/>
      </c>
      <c r="AJ80" s="477" t="str">
        <f>IF(AI80="","",VLOOKUP(AI80,'11. Lists'!$F$47:$G$51,2,FALSE))</f>
        <v/>
      </c>
      <c r="AK80" s="478"/>
      <c r="AL80" s="478"/>
      <c r="AM80" s="478"/>
      <c r="AN80" s="477" t="str">
        <f t="shared" si="22"/>
        <v/>
      </c>
      <c r="AO80" s="116" t="str">
        <f>IF(AN80="","",VLOOKUP(AN80,'11. Lists'!$F$36:$H$38,2,FALSE))</f>
        <v/>
      </c>
      <c r="AP80" s="115" t="str">
        <f>IF(AN80="","",VLOOKUP(AN80,'11. Lists'!$F$36:$H$38,3,FALSE))</f>
        <v/>
      </c>
      <c r="AQ80" s="114" t="str">
        <f>IF(D80="","",IF(AX80="Distinctiveness","N/A",VLOOKUP(F80,'10. Condition and Temporal'!$B$6:$L$103,11,FALSE)))</f>
        <v/>
      </c>
      <c r="AR80" s="118" t="str">
        <f>IF(AQ80="","",IF(AQ80="N/A","1",VLOOKUP(AQ80,'11. Lists'!$I$47:$K$80,3,FALSE)))</f>
        <v/>
      </c>
      <c r="AS80" s="134" t="str">
        <f>IF(D80="","",IF(AX80="Condition","N/A",VLOOKUP(F80,'10. Condition and Temporal'!$B$6:$M$106,12,FALSE)))</f>
        <v/>
      </c>
      <c r="AT80" s="118" t="str">
        <f>IF(AS80="","",IF(AS80="N/A","1",VLOOKUP(AS80,'11. Lists'!$I$47:$K$80,3,FALSE)))</f>
        <v/>
      </c>
      <c r="AU80" s="117" t="str">
        <f>IF(D80="","",VLOOKUP(F80,'9. All Habitats + Multipliers'!$C$4:$K$102,8,FALSE))</f>
        <v/>
      </c>
      <c r="AV80" s="115" t="str">
        <f>IF(AU80="","",VLOOKUP(AU80,'11. Lists'!$J$35:$K$38,2,FALSE))</f>
        <v/>
      </c>
      <c r="AW80" s="114" t="str">
        <f>IF(D80="","",VLOOKUP(D80,'10. Condition and Temporal'!$B$6:$M$103,4,FALSE))</f>
        <v/>
      </c>
      <c r="AX80" s="459" t="str">
        <f t="shared" si="23"/>
        <v/>
      </c>
      <c r="AY80" s="482" t="str">
        <v>1</v>
      </c>
      <c r="AZ80" s="479" t="str">
        <v>1</v>
      </c>
      <c r="BA80" s="93">
        <v>15</v>
      </c>
      <c r="BB80" s="95" t="str">
        <f t="shared" si="24"/>
        <v/>
      </c>
      <c r="BC80" s="95" t="str">
        <f t="shared" si="25"/>
        <v/>
      </c>
      <c r="BD80" s="95" t="str">
        <f t="shared" si="26"/>
        <v/>
      </c>
      <c r="BE80" s="95" t="str">
        <f t="shared" si="27"/>
        <v/>
      </c>
      <c r="BF80" s="95" t="str">
        <f t="shared" si="28"/>
        <v/>
      </c>
      <c r="BG80" s="95" t="str">
        <f t="shared" si="29"/>
        <v/>
      </c>
      <c r="BH80" s="95" t="str">
        <f t="shared" si="30"/>
        <v/>
      </c>
      <c r="BI80" s="95" t="str">
        <f t="shared" si="31"/>
        <v/>
      </c>
      <c r="BJ80" s="95" t="str">
        <f t="shared" si="32"/>
        <v/>
      </c>
      <c r="BK80" s="95" t="str">
        <f t="shared" si="33"/>
        <v/>
      </c>
      <c r="BL80" s="95" t="str">
        <f t="shared" si="34"/>
        <v/>
      </c>
      <c r="BM80" s="95" t="str">
        <f t="shared" si="35"/>
        <v/>
      </c>
      <c r="BN80" s="95" t="str">
        <f t="shared" si="36"/>
        <v/>
      </c>
      <c r="BO80" s="95" t="str">
        <f t="shared" si="37"/>
        <v/>
      </c>
      <c r="BP80" s="95" t="str">
        <f t="shared" si="38"/>
        <v/>
      </c>
      <c r="BQ80" s="95" t="str">
        <f t="shared" si="39"/>
        <v/>
      </c>
      <c r="BR80" s="95" t="str">
        <f t="shared" si="40"/>
        <v/>
      </c>
      <c r="BS80" s="95" t="str">
        <f t="shared" si="41"/>
        <v/>
      </c>
      <c r="BT80" s="95" t="str">
        <f t="shared" si="42"/>
        <v/>
      </c>
      <c r="BU80" s="94" t="str">
        <f t="shared" si="43"/>
        <v/>
      </c>
      <c r="BV80" s="184" t="str">
        <f t="shared" si="51"/>
        <v/>
      </c>
      <c r="BW80" s="95" t="s">
        <v>168</v>
      </c>
      <c r="BX80" s="95">
        <f>BP64</f>
        <v>0</v>
      </c>
    </row>
    <row r="81" spans="1:76" s="25" customFormat="1" ht="15.75" customHeight="1" x14ac:dyDescent="0.3">
      <c r="B81" s="264">
        <v>16</v>
      </c>
      <c r="C81" s="119" t="str">
        <f t="shared" si="13"/>
        <v/>
      </c>
      <c r="D81" s="208" t="str">
        <f t="shared" si="44"/>
        <v/>
      </c>
      <c r="E81" s="166" t="str">
        <f t="shared" si="14"/>
        <v/>
      </c>
      <c r="F81" s="826"/>
      <c r="G81" s="827"/>
      <c r="H81" s="163" t="str">
        <f t="shared" si="15"/>
        <v/>
      </c>
      <c r="I81" s="317" t="str">
        <f t="shared" si="45"/>
        <v/>
      </c>
      <c r="J81" s="952" t="str">
        <f>IF(F81="","",VLOOKUP(F81,'10. Condition and Temporal'!$B$6:$F$103,5,FALSE))</f>
        <v/>
      </c>
      <c r="K81" s="953"/>
      <c r="L81" s="294" t="str">
        <f t="shared" si="46"/>
        <v/>
      </c>
      <c r="M81" s="948" t="str">
        <f t="shared" si="47"/>
        <v/>
      </c>
      <c r="N81" s="949"/>
      <c r="O81" s="74"/>
      <c r="P81" s="12"/>
      <c r="R81" s="741"/>
      <c r="T81" s="177" t="str">
        <f t="shared" si="16"/>
        <v/>
      </c>
      <c r="U81" s="114" t="str">
        <f t="shared" si="48"/>
        <v/>
      </c>
      <c r="V81" s="115" t="str">
        <f t="shared" si="17"/>
        <v/>
      </c>
      <c r="W81" s="113" t="str">
        <f t="shared" si="17"/>
        <v/>
      </c>
      <c r="X81" s="93" t="str">
        <f t="shared" si="17"/>
        <v/>
      </c>
      <c r="Y81" s="343"/>
      <c r="Z81" s="343"/>
      <c r="AA81" s="343"/>
      <c r="AB81" s="94" t="str">
        <f t="shared" si="18"/>
        <v/>
      </c>
      <c r="AC81" s="117" t="str">
        <f t="shared" si="19"/>
        <v/>
      </c>
      <c r="AD81" s="115" t="str">
        <f t="shared" si="49"/>
        <v/>
      </c>
      <c r="AE81" s="179" t="str">
        <f t="shared" si="50"/>
        <v/>
      </c>
      <c r="AF81" s="113" t="str">
        <f t="shared" si="20"/>
        <v/>
      </c>
      <c r="AG81" s="114" t="str">
        <f>IF(D81="","",VLOOKUP(F81,'9. All Habitats + Multipliers'!$C$4:$K$102,5,FALSE))</f>
        <v/>
      </c>
      <c r="AH81" s="115" t="str">
        <f>IF(AG81="","",VLOOKUP(AG81,'11. Lists'!$B$47:$D$49,2,FALSE))</f>
        <v/>
      </c>
      <c r="AI81" s="114" t="str">
        <f t="shared" si="21"/>
        <v/>
      </c>
      <c r="AJ81" s="477" t="str">
        <f>IF(AI81="","",VLOOKUP(AI81,'11. Lists'!$F$47:$G$51,2,FALSE))</f>
        <v/>
      </c>
      <c r="AK81" s="478"/>
      <c r="AL81" s="478"/>
      <c r="AM81" s="478"/>
      <c r="AN81" s="477" t="str">
        <f t="shared" si="22"/>
        <v/>
      </c>
      <c r="AO81" s="116" t="str">
        <f>IF(AN81="","",VLOOKUP(AN81,'11. Lists'!$F$36:$H$38,2,FALSE))</f>
        <v/>
      </c>
      <c r="AP81" s="115" t="str">
        <f>IF(AN81="","",VLOOKUP(AN81,'11. Lists'!$F$36:$H$38,3,FALSE))</f>
        <v/>
      </c>
      <c r="AQ81" s="114" t="str">
        <f>IF(D81="","",IF(AX81="Distinctiveness","N/A",VLOOKUP(F81,'10. Condition and Temporal'!$B$6:$L$103,11,FALSE)))</f>
        <v/>
      </c>
      <c r="AR81" s="118" t="str">
        <f>IF(AQ81="","",IF(AQ81="N/A","1",VLOOKUP(AQ81,'11. Lists'!$I$47:$K$80,3,FALSE)))</f>
        <v/>
      </c>
      <c r="AS81" s="134" t="str">
        <f>IF(D81="","",IF(AX81="Condition","N/A",VLOOKUP(F81,'10. Condition and Temporal'!$B$6:$M$106,12,FALSE)))</f>
        <v/>
      </c>
      <c r="AT81" s="118" t="str">
        <f>IF(AS81="","",IF(AS81="N/A","1",VLOOKUP(AS81,'11. Lists'!$I$47:$K$80,3,FALSE)))</f>
        <v/>
      </c>
      <c r="AU81" s="117" t="str">
        <f>IF(D81="","",VLOOKUP(F81,'9. All Habitats + Multipliers'!$C$4:$K$102,8,FALSE))</f>
        <v/>
      </c>
      <c r="AV81" s="115" t="str">
        <f>IF(AU81="","",VLOOKUP(AU81,'11. Lists'!$J$35:$K$38,2,FALSE))</f>
        <v/>
      </c>
      <c r="AW81" s="114" t="str">
        <f>IF(D81="","",VLOOKUP(D81,'10. Condition and Temporal'!$B$6:$M$103,4,FALSE))</f>
        <v/>
      </c>
      <c r="AX81" s="459" t="str">
        <f t="shared" si="23"/>
        <v/>
      </c>
      <c r="AY81" s="482" t="str">
        <v>1</v>
      </c>
      <c r="AZ81" s="479" t="str">
        <v>1</v>
      </c>
      <c r="BA81" s="93">
        <v>16</v>
      </c>
      <c r="BB81" s="95" t="str">
        <f t="shared" si="24"/>
        <v/>
      </c>
      <c r="BC81" s="95" t="str">
        <f t="shared" si="25"/>
        <v/>
      </c>
      <c r="BD81" s="95" t="str">
        <f t="shared" si="26"/>
        <v/>
      </c>
      <c r="BE81" s="95" t="str">
        <f t="shared" si="27"/>
        <v/>
      </c>
      <c r="BF81" s="95" t="str">
        <f t="shared" si="28"/>
        <v/>
      </c>
      <c r="BG81" s="95" t="str">
        <f t="shared" si="29"/>
        <v/>
      </c>
      <c r="BH81" s="95" t="str">
        <f t="shared" si="30"/>
        <v/>
      </c>
      <c r="BI81" s="95" t="str">
        <f t="shared" si="31"/>
        <v/>
      </c>
      <c r="BJ81" s="95" t="str">
        <f t="shared" si="32"/>
        <v/>
      </c>
      <c r="BK81" s="95" t="str">
        <f t="shared" si="33"/>
        <v/>
      </c>
      <c r="BL81" s="95" t="str">
        <f t="shared" si="34"/>
        <v/>
      </c>
      <c r="BM81" s="95" t="str">
        <f t="shared" si="35"/>
        <v/>
      </c>
      <c r="BN81" s="95" t="str">
        <f t="shared" si="36"/>
        <v/>
      </c>
      <c r="BO81" s="95" t="str">
        <f t="shared" si="37"/>
        <v/>
      </c>
      <c r="BP81" s="95" t="str">
        <f t="shared" si="38"/>
        <v/>
      </c>
      <c r="BQ81" s="95" t="str">
        <f t="shared" si="39"/>
        <v/>
      </c>
      <c r="BR81" s="95" t="str">
        <f t="shared" si="40"/>
        <v/>
      </c>
      <c r="BS81" s="95" t="str">
        <f t="shared" si="41"/>
        <v/>
      </c>
      <c r="BT81" s="95" t="str">
        <f t="shared" si="42"/>
        <v/>
      </c>
      <c r="BU81" s="94" t="str">
        <f t="shared" si="43"/>
        <v/>
      </c>
      <c r="BV81" s="184" t="str">
        <f t="shared" si="51"/>
        <v/>
      </c>
      <c r="BW81" s="95" t="s">
        <v>169</v>
      </c>
      <c r="BX81" s="95">
        <f>BQ64</f>
        <v>0</v>
      </c>
    </row>
    <row r="82" spans="1:76" s="25" customFormat="1" ht="15.6" x14ac:dyDescent="0.3">
      <c r="B82" s="264">
        <v>17</v>
      </c>
      <c r="C82" s="119" t="str">
        <f t="shared" si="13"/>
        <v/>
      </c>
      <c r="D82" s="208" t="str">
        <f t="shared" si="44"/>
        <v/>
      </c>
      <c r="E82" s="166" t="str">
        <f t="shared" si="14"/>
        <v/>
      </c>
      <c r="F82" s="826"/>
      <c r="G82" s="827"/>
      <c r="H82" s="163" t="str">
        <f t="shared" si="15"/>
        <v/>
      </c>
      <c r="I82" s="317" t="str">
        <f t="shared" si="45"/>
        <v/>
      </c>
      <c r="J82" s="952" t="str">
        <f>IF(F82="","",VLOOKUP(F82,'10. Condition and Temporal'!$B$6:$F$103,5,FALSE))</f>
        <v/>
      </c>
      <c r="K82" s="953"/>
      <c r="L82" s="294" t="str">
        <f t="shared" si="46"/>
        <v/>
      </c>
      <c r="M82" s="948" t="str">
        <f t="shared" si="47"/>
        <v/>
      </c>
      <c r="N82" s="949"/>
      <c r="O82" s="74"/>
      <c r="P82" s="12"/>
      <c r="R82" s="741"/>
      <c r="T82" s="177" t="str">
        <f t="shared" si="16"/>
        <v/>
      </c>
      <c r="U82" s="114" t="str">
        <f t="shared" si="48"/>
        <v/>
      </c>
      <c r="V82" s="115" t="str">
        <f t="shared" si="17"/>
        <v/>
      </c>
      <c r="W82" s="113" t="str">
        <f t="shared" si="17"/>
        <v/>
      </c>
      <c r="X82" s="93" t="str">
        <f t="shared" si="17"/>
        <v/>
      </c>
      <c r="Y82" s="343"/>
      <c r="Z82" s="343"/>
      <c r="AA82" s="343"/>
      <c r="AB82" s="94" t="str">
        <f t="shared" si="18"/>
        <v/>
      </c>
      <c r="AC82" s="117" t="str">
        <f t="shared" si="19"/>
        <v/>
      </c>
      <c r="AD82" s="115" t="str">
        <f t="shared" si="49"/>
        <v/>
      </c>
      <c r="AE82" s="179" t="str">
        <f t="shared" si="50"/>
        <v/>
      </c>
      <c r="AF82" s="113" t="str">
        <f t="shared" si="20"/>
        <v/>
      </c>
      <c r="AG82" s="114" t="str">
        <f>IF(D82="","",VLOOKUP(F82,'9. All Habitats + Multipliers'!$C$4:$K$102,5,FALSE))</f>
        <v/>
      </c>
      <c r="AH82" s="115" t="str">
        <f>IF(AG82="","",VLOOKUP(AG82,'11. Lists'!$B$47:$D$49,2,FALSE))</f>
        <v/>
      </c>
      <c r="AI82" s="114" t="str">
        <f t="shared" si="21"/>
        <v/>
      </c>
      <c r="AJ82" s="477" t="str">
        <f>IF(AI82="","",VLOOKUP(AI82,'11. Lists'!$F$47:$G$51,2,FALSE))</f>
        <v/>
      </c>
      <c r="AK82" s="478"/>
      <c r="AL82" s="478"/>
      <c r="AM82" s="478"/>
      <c r="AN82" s="477" t="str">
        <f t="shared" si="22"/>
        <v/>
      </c>
      <c r="AO82" s="116" t="str">
        <f>IF(AN82="","",VLOOKUP(AN82,'11. Lists'!$F$36:$H$38,2,FALSE))</f>
        <v/>
      </c>
      <c r="AP82" s="115" t="str">
        <f>IF(AN82="","",VLOOKUP(AN82,'11. Lists'!$F$36:$H$38,3,FALSE))</f>
        <v/>
      </c>
      <c r="AQ82" s="114" t="str">
        <f>IF(D82="","",IF(AX82="Distinctiveness","N/A",VLOOKUP(F82,'10. Condition and Temporal'!$B$6:$L$103,11,FALSE)))</f>
        <v/>
      </c>
      <c r="AR82" s="118" t="str">
        <f>IF(AQ82="","",IF(AQ82="N/A","1",VLOOKUP(AQ82,'11. Lists'!$I$47:$K$80,3,FALSE)))</f>
        <v/>
      </c>
      <c r="AS82" s="134" t="str">
        <f>IF(D82="","",IF(AX82="Condition","N/A",VLOOKUP(F82,'10. Condition and Temporal'!$B$6:$M$106,12,FALSE)))</f>
        <v/>
      </c>
      <c r="AT82" s="118" t="str">
        <f>IF(AS82="","",IF(AS82="N/A","1",VLOOKUP(AS82,'11. Lists'!$I$47:$K$80,3,FALSE)))</f>
        <v/>
      </c>
      <c r="AU82" s="117" t="str">
        <f>IF(D82="","",VLOOKUP(F82,'9. All Habitats + Multipliers'!$C$4:$K$102,8,FALSE))</f>
        <v/>
      </c>
      <c r="AV82" s="115" t="str">
        <f>IF(AU82="","",VLOOKUP(AU82,'11. Lists'!$J$35:$K$38,2,FALSE))</f>
        <v/>
      </c>
      <c r="AW82" s="114" t="str">
        <f>IF(D82="","",VLOOKUP(D82,'10. Condition and Temporal'!$B$6:$M$103,4,FALSE))</f>
        <v/>
      </c>
      <c r="AX82" s="459" t="str">
        <f t="shared" si="23"/>
        <v/>
      </c>
      <c r="AY82" s="482" t="str">
        <v>1</v>
      </c>
      <c r="AZ82" s="479" t="str">
        <v>1</v>
      </c>
      <c r="BA82" s="93">
        <v>17</v>
      </c>
      <c r="BB82" s="95" t="str">
        <f t="shared" si="24"/>
        <v/>
      </c>
      <c r="BC82" s="95" t="str">
        <f t="shared" si="25"/>
        <v/>
      </c>
      <c r="BD82" s="95" t="str">
        <f t="shared" si="26"/>
        <v/>
      </c>
      <c r="BE82" s="95" t="str">
        <f t="shared" si="27"/>
        <v/>
      </c>
      <c r="BF82" s="95" t="str">
        <f t="shared" si="28"/>
        <v/>
      </c>
      <c r="BG82" s="95" t="str">
        <f t="shared" si="29"/>
        <v/>
      </c>
      <c r="BH82" s="95" t="str">
        <f t="shared" si="30"/>
        <v/>
      </c>
      <c r="BI82" s="95" t="str">
        <f t="shared" si="31"/>
        <v/>
      </c>
      <c r="BJ82" s="95" t="str">
        <f t="shared" si="32"/>
        <v/>
      </c>
      <c r="BK82" s="95" t="str">
        <f t="shared" si="33"/>
        <v/>
      </c>
      <c r="BL82" s="95" t="str">
        <f t="shared" si="34"/>
        <v/>
      </c>
      <c r="BM82" s="95" t="str">
        <f t="shared" si="35"/>
        <v/>
      </c>
      <c r="BN82" s="95" t="str">
        <f t="shared" si="36"/>
        <v/>
      </c>
      <c r="BO82" s="95" t="str">
        <f t="shared" si="37"/>
        <v/>
      </c>
      <c r="BP82" s="95" t="str">
        <f t="shared" si="38"/>
        <v/>
      </c>
      <c r="BQ82" s="95" t="str">
        <f t="shared" si="39"/>
        <v/>
      </c>
      <c r="BR82" s="95" t="str">
        <f t="shared" si="40"/>
        <v/>
      </c>
      <c r="BS82" s="95" t="str">
        <f t="shared" si="41"/>
        <v/>
      </c>
      <c r="BT82" s="95" t="str">
        <f t="shared" si="42"/>
        <v/>
      </c>
      <c r="BU82" s="94" t="str">
        <f t="shared" si="43"/>
        <v/>
      </c>
      <c r="BV82" s="184" t="str">
        <f t="shared" si="51"/>
        <v/>
      </c>
      <c r="BW82" s="95" t="s">
        <v>170</v>
      </c>
      <c r="BX82" s="95">
        <f>BR64</f>
        <v>0</v>
      </c>
    </row>
    <row r="83" spans="1:76" s="25" customFormat="1" ht="15.75" customHeight="1" x14ac:dyDescent="0.3">
      <c r="B83" s="264">
        <v>18</v>
      </c>
      <c r="C83" s="119" t="str">
        <f t="shared" si="13"/>
        <v/>
      </c>
      <c r="D83" s="208" t="str">
        <f t="shared" si="44"/>
        <v/>
      </c>
      <c r="E83" s="166" t="str">
        <f t="shared" si="14"/>
        <v/>
      </c>
      <c r="F83" s="826"/>
      <c r="G83" s="827"/>
      <c r="H83" s="163" t="str">
        <f t="shared" si="15"/>
        <v/>
      </c>
      <c r="I83" s="317" t="str">
        <f t="shared" si="45"/>
        <v/>
      </c>
      <c r="J83" s="952" t="str">
        <f>IF(F83="","",VLOOKUP(F83,'10. Condition and Temporal'!$B$6:$F$103,5,FALSE))</f>
        <v/>
      </c>
      <c r="K83" s="953"/>
      <c r="L83" s="294" t="str">
        <f t="shared" si="46"/>
        <v/>
      </c>
      <c r="M83" s="948" t="str">
        <f t="shared" si="47"/>
        <v/>
      </c>
      <c r="N83" s="949"/>
      <c r="O83" s="74"/>
      <c r="P83" s="12"/>
      <c r="R83" s="741"/>
      <c r="T83" s="177" t="str">
        <f t="shared" si="16"/>
        <v/>
      </c>
      <c r="U83" s="114" t="str">
        <f t="shared" si="48"/>
        <v/>
      </c>
      <c r="V83" s="115" t="str">
        <f t="shared" si="17"/>
        <v/>
      </c>
      <c r="W83" s="113" t="str">
        <f t="shared" si="17"/>
        <v/>
      </c>
      <c r="X83" s="93" t="str">
        <f t="shared" si="17"/>
        <v/>
      </c>
      <c r="Y83" s="343"/>
      <c r="Z83" s="343"/>
      <c r="AA83" s="343"/>
      <c r="AB83" s="94" t="str">
        <f t="shared" si="18"/>
        <v/>
      </c>
      <c r="AC83" s="117" t="str">
        <f t="shared" si="19"/>
        <v/>
      </c>
      <c r="AD83" s="115" t="str">
        <f t="shared" si="49"/>
        <v/>
      </c>
      <c r="AE83" s="179" t="str">
        <f t="shared" si="50"/>
        <v/>
      </c>
      <c r="AF83" s="113" t="str">
        <f t="shared" si="20"/>
        <v/>
      </c>
      <c r="AG83" s="114" t="str">
        <f>IF(D83="","",VLOOKUP(F83,'9. All Habitats + Multipliers'!$C$4:$K$102,5,FALSE))</f>
        <v/>
      </c>
      <c r="AH83" s="115" t="str">
        <f>IF(AG83="","",VLOOKUP(AG83,'11. Lists'!$B$47:$D$49,2,FALSE))</f>
        <v/>
      </c>
      <c r="AI83" s="114" t="str">
        <f t="shared" si="21"/>
        <v/>
      </c>
      <c r="AJ83" s="477" t="str">
        <f>IF(AI83="","",VLOOKUP(AI83,'11. Lists'!$F$47:$G$51,2,FALSE))</f>
        <v/>
      </c>
      <c r="AK83" s="478"/>
      <c r="AL83" s="478"/>
      <c r="AM83" s="478"/>
      <c r="AN83" s="477" t="str">
        <f t="shared" si="22"/>
        <v/>
      </c>
      <c r="AO83" s="116" t="str">
        <f>IF(AN83="","",VLOOKUP(AN83,'11. Lists'!$F$36:$H$38,2,FALSE))</f>
        <v/>
      </c>
      <c r="AP83" s="115" t="str">
        <f>IF(AN83="","",VLOOKUP(AN83,'11. Lists'!$F$36:$H$38,3,FALSE))</f>
        <v/>
      </c>
      <c r="AQ83" s="114" t="str">
        <f>IF(D83="","",IF(AX83="Distinctiveness","N/A",VLOOKUP(F83,'10. Condition and Temporal'!$B$6:$L$103,11,FALSE)))</f>
        <v/>
      </c>
      <c r="AR83" s="118" t="str">
        <f>IF(AQ83="","",IF(AQ83="N/A","1",VLOOKUP(AQ83,'11. Lists'!$I$47:$K$80,3,FALSE)))</f>
        <v/>
      </c>
      <c r="AS83" s="134" t="str">
        <f>IF(D83="","",IF(AX83="Condition","N/A",VLOOKUP(F83,'10. Condition and Temporal'!$B$6:$M$106,12,FALSE)))</f>
        <v/>
      </c>
      <c r="AT83" s="118" t="str">
        <f>IF(AS83="","",IF(AS83="N/A","1",VLOOKUP(AS83,'11. Lists'!$I$47:$K$80,3,FALSE)))</f>
        <v/>
      </c>
      <c r="AU83" s="117" t="str">
        <f>IF(D83="","",VLOOKUP(F83,'9. All Habitats + Multipliers'!$C$4:$K$102,8,FALSE))</f>
        <v/>
      </c>
      <c r="AV83" s="115" t="str">
        <f>IF(AU83="","",VLOOKUP(AU83,'11. Lists'!$J$35:$K$38,2,FALSE))</f>
        <v/>
      </c>
      <c r="AW83" s="114" t="str">
        <f>IF(D83="","",VLOOKUP(D83,'10. Condition and Temporal'!$B$6:$M$103,4,FALSE))</f>
        <v/>
      </c>
      <c r="AX83" s="459" t="str">
        <f t="shared" si="23"/>
        <v/>
      </c>
      <c r="AY83" s="482" t="str">
        <v>1</v>
      </c>
      <c r="AZ83" s="479" t="str">
        <v>1</v>
      </c>
      <c r="BA83" s="93">
        <v>18</v>
      </c>
      <c r="BB83" s="95" t="str">
        <f t="shared" si="24"/>
        <v/>
      </c>
      <c r="BC83" s="95" t="str">
        <f t="shared" si="25"/>
        <v/>
      </c>
      <c r="BD83" s="95" t="str">
        <f t="shared" si="26"/>
        <v/>
      </c>
      <c r="BE83" s="95" t="str">
        <f t="shared" si="27"/>
        <v/>
      </c>
      <c r="BF83" s="95" t="str">
        <f t="shared" si="28"/>
        <v/>
      </c>
      <c r="BG83" s="95" t="str">
        <f t="shared" si="29"/>
        <v/>
      </c>
      <c r="BH83" s="95" t="str">
        <f t="shared" si="30"/>
        <v/>
      </c>
      <c r="BI83" s="95" t="str">
        <f t="shared" si="31"/>
        <v/>
      </c>
      <c r="BJ83" s="95" t="str">
        <f t="shared" si="32"/>
        <v/>
      </c>
      <c r="BK83" s="95" t="str">
        <f t="shared" si="33"/>
        <v/>
      </c>
      <c r="BL83" s="95" t="str">
        <f t="shared" si="34"/>
        <v/>
      </c>
      <c r="BM83" s="95" t="str">
        <f t="shared" si="35"/>
        <v/>
      </c>
      <c r="BN83" s="95" t="str">
        <f t="shared" si="36"/>
        <v/>
      </c>
      <c r="BO83" s="95" t="str">
        <f t="shared" si="37"/>
        <v/>
      </c>
      <c r="BP83" s="95" t="str">
        <f t="shared" si="38"/>
        <v/>
      </c>
      <c r="BQ83" s="95" t="str">
        <f t="shared" si="39"/>
        <v/>
      </c>
      <c r="BR83" s="95" t="str">
        <f t="shared" si="40"/>
        <v/>
      </c>
      <c r="BS83" s="95" t="str">
        <f t="shared" si="41"/>
        <v/>
      </c>
      <c r="BT83" s="95" t="str">
        <f t="shared" si="42"/>
        <v/>
      </c>
      <c r="BU83" s="94" t="str">
        <f t="shared" si="43"/>
        <v/>
      </c>
      <c r="BV83" s="184" t="str">
        <f t="shared" si="51"/>
        <v/>
      </c>
      <c r="BW83" s="95" t="s">
        <v>171</v>
      </c>
      <c r="BX83" s="95">
        <f>BS64</f>
        <v>0</v>
      </c>
    </row>
    <row r="84" spans="1:76" s="25" customFormat="1" ht="15.75" customHeight="1" x14ac:dyDescent="0.3">
      <c r="B84" s="264">
        <v>19</v>
      </c>
      <c r="C84" s="119" t="str">
        <f t="shared" si="13"/>
        <v/>
      </c>
      <c r="D84" s="208" t="str">
        <f t="shared" si="44"/>
        <v/>
      </c>
      <c r="E84" s="166" t="str">
        <f t="shared" si="14"/>
        <v/>
      </c>
      <c r="F84" s="826"/>
      <c r="G84" s="827"/>
      <c r="H84" s="163" t="str">
        <f t="shared" si="15"/>
        <v/>
      </c>
      <c r="I84" s="317" t="str">
        <f t="shared" si="45"/>
        <v/>
      </c>
      <c r="J84" s="952" t="str">
        <f>IF(F84="","",VLOOKUP(F84,'10. Condition and Temporal'!$B$6:$F$103,5,FALSE))</f>
        <v/>
      </c>
      <c r="K84" s="953"/>
      <c r="L84" s="294" t="str">
        <f t="shared" si="46"/>
        <v/>
      </c>
      <c r="M84" s="948" t="str">
        <f t="shared" si="47"/>
        <v/>
      </c>
      <c r="N84" s="949"/>
      <c r="O84" s="74"/>
      <c r="P84" s="12"/>
      <c r="R84" s="741"/>
      <c r="T84" s="177" t="str">
        <f t="shared" si="16"/>
        <v/>
      </c>
      <c r="U84" s="114" t="str">
        <f t="shared" si="48"/>
        <v/>
      </c>
      <c r="V84" s="115" t="str">
        <f t="shared" si="17"/>
        <v/>
      </c>
      <c r="W84" s="113" t="str">
        <f t="shared" si="17"/>
        <v/>
      </c>
      <c r="X84" s="93" t="str">
        <f t="shared" si="17"/>
        <v/>
      </c>
      <c r="Y84" s="343"/>
      <c r="Z84" s="343"/>
      <c r="AA84" s="343"/>
      <c r="AB84" s="94" t="str">
        <f t="shared" si="18"/>
        <v/>
      </c>
      <c r="AC84" s="117" t="str">
        <f t="shared" si="19"/>
        <v/>
      </c>
      <c r="AD84" s="115" t="str">
        <f t="shared" si="49"/>
        <v/>
      </c>
      <c r="AE84" s="179" t="str">
        <f t="shared" si="50"/>
        <v/>
      </c>
      <c r="AF84" s="113" t="str">
        <f t="shared" si="20"/>
        <v/>
      </c>
      <c r="AG84" s="114" t="str">
        <f>IF(D84="","",VLOOKUP(F84,'9. All Habitats + Multipliers'!$C$4:$K$102,5,FALSE))</f>
        <v/>
      </c>
      <c r="AH84" s="115" t="str">
        <f>IF(AG84="","",VLOOKUP(AG84,'11. Lists'!$B$47:$D$49,2,FALSE))</f>
        <v/>
      </c>
      <c r="AI84" s="114" t="str">
        <f t="shared" si="21"/>
        <v/>
      </c>
      <c r="AJ84" s="477" t="str">
        <f>IF(AI84="","",VLOOKUP(AI84,'11. Lists'!$F$47:$G$51,2,FALSE))</f>
        <v/>
      </c>
      <c r="AK84" s="478"/>
      <c r="AL84" s="478"/>
      <c r="AM84" s="478"/>
      <c r="AN84" s="477" t="str">
        <f t="shared" si="22"/>
        <v/>
      </c>
      <c r="AO84" s="116" t="str">
        <f>IF(AN84="","",VLOOKUP(AN84,'11. Lists'!$F$36:$H$38,2,FALSE))</f>
        <v/>
      </c>
      <c r="AP84" s="115" t="str">
        <f>IF(AN84="","",VLOOKUP(AN84,'11. Lists'!$F$36:$H$38,3,FALSE))</f>
        <v/>
      </c>
      <c r="AQ84" s="114" t="str">
        <f>IF(D84="","",IF(AX84="Distinctiveness","N/A",VLOOKUP(F84,'10. Condition and Temporal'!$B$6:$L$103,11,FALSE)))</f>
        <v/>
      </c>
      <c r="AR84" s="118" t="str">
        <f>IF(AQ84="","",IF(AQ84="N/A","1",VLOOKUP(AQ84,'11. Lists'!$I$47:$K$80,3,FALSE)))</f>
        <v/>
      </c>
      <c r="AS84" s="134" t="str">
        <f>IF(D84="","",IF(AX84="Condition","N/A",VLOOKUP(F84,'10. Condition and Temporal'!$B$6:$M$106,12,FALSE)))</f>
        <v/>
      </c>
      <c r="AT84" s="118" t="str">
        <f>IF(AS84="","",IF(AS84="N/A","1",VLOOKUP(AS84,'11. Lists'!$I$47:$K$80,3,FALSE)))</f>
        <v/>
      </c>
      <c r="AU84" s="117" t="str">
        <f>IF(D84="","",VLOOKUP(F84,'9. All Habitats + Multipliers'!$C$4:$K$102,8,FALSE))</f>
        <v/>
      </c>
      <c r="AV84" s="115" t="str">
        <f>IF(AU84="","",VLOOKUP(AU84,'11. Lists'!$J$35:$K$38,2,FALSE))</f>
        <v/>
      </c>
      <c r="AW84" s="114" t="str">
        <f>IF(D84="","",VLOOKUP(D84,'10. Condition and Temporal'!$B$6:$M$103,4,FALSE))</f>
        <v/>
      </c>
      <c r="AX84" s="459" t="str">
        <f t="shared" si="23"/>
        <v/>
      </c>
      <c r="AY84" s="482" t="str">
        <v>1</v>
      </c>
      <c r="AZ84" s="479" t="str">
        <v>1</v>
      </c>
      <c r="BA84" s="93">
        <v>19</v>
      </c>
      <c r="BB84" s="95" t="str">
        <f t="shared" si="24"/>
        <v/>
      </c>
      <c r="BC84" s="95" t="str">
        <f t="shared" si="25"/>
        <v/>
      </c>
      <c r="BD84" s="95" t="str">
        <f t="shared" si="26"/>
        <v/>
      </c>
      <c r="BE84" s="95" t="str">
        <f t="shared" si="27"/>
        <v/>
      </c>
      <c r="BF84" s="95" t="str">
        <f t="shared" si="28"/>
        <v/>
      </c>
      <c r="BG84" s="95" t="str">
        <f t="shared" si="29"/>
        <v/>
      </c>
      <c r="BH84" s="95" t="str">
        <f t="shared" si="30"/>
        <v/>
      </c>
      <c r="BI84" s="95" t="str">
        <f t="shared" si="31"/>
        <v/>
      </c>
      <c r="BJ84" s="95" t="str">
        <f t="shared" si="32"/>
        <v/>
      </c>
      <c r="BK84" s="95" t="str">
        <f t="shared" si="33"/>
        <v/>
      </c>
      <c r="BL84" s="95" t="str">
        <f t="shared" si="34"/>
        <v/>
      </c>
      <c r="BM84" s="95" t="str">
        <f t="shared" si="35"/>
        <v/>
      </c>
      <c r="BN84" s="95" t="str">
        <f t="shared" si="36"/>
        <v/>
      </c>
      <c r="BO84" s="95" t="str">
        <f t="shared" si="37"/>
        <v/>
      </c>
      <c r="BP84" s="95" t="str">
        <f t="shared" si="38"/>
        <v/>
      </c>
      <c r="BQ84" s="95" t="str">
        <f t="shared" si="39"/>
        <v/>
      </c>
      <c r="BR84" s="95" t="str">
        <f t="shared" si="40"/>
        <v/>
      </c>
      <c r="BS84" s="95" t="str">
        <f t="shared" si="41"/>
        <v/>
      </c>
      <c r="BT84" s="95" t="str">
        <f t="shared" si="42"/>
        <v/>
      </c>
      <c r="BU84" s="94" t="str">
        <f t="shared" si="43"/>
        <v/>
      </c>
      <c r="BV84" s="184" t="str">
        <f t="shared" si="51"/>
        <v/>
      </c>
      <c r="BW84" s="95" t="s">
        <v>172</v>
      </c>
      <c r="BX84" s="95">
        <f>BT64</f>
        <v>0</v>
      </c>
    </row>
    <row r="85" spans="1:76" s="25" customFormat="1" ht="16.2" thickBot="1" x14ac:dyDescent="0.35">
      <c r="B85" s="265">
        <v>20</v>
      </c>
      <c r="C85" s="138" t="str">
        <f t="shared" si="13"/>
        <v/>
      </c>
      <c r="D85" s="420" t="str">
        <f t="shared" si="44"/>
        <v/>
      </c>
      <c r="E85" s="167" t="str">
        <f t="shared" si="14"/>
        <v/>
      </c>
      <c r="F85" s="854"/>
      <c r="G85" s="855"/>
      <c r="H85" s="164" t="str">
        <f t="shared" si="15"/>
        <v/>
      </c>
      <c r="I85" s="424" t="str">
        <f t="shared" si="45"/>
        <v/>
      </c>
      <c r="J85" s="961" t="str">
        <f>IF(F85="","",VLOOKUP(F85,'10. Condition and Temporal'!$B$6:$F$103,5,FALSE))</f>
        <v/>
      </c>
      <c r="K85" s="962"/>
      <c r="L85" s="292" t="str">
        <f t="shared" si="46"/>
        <v/>
      </c>
      <c r="M85" s="963" t="str">
        <f t="shared" si="47"/>
        <v/>
      </c>
      <c r="N85" s="964"/>
      <c r="O85" s="75"/>
      <c r="P85" s="14"/>
      <c r="R85" s="741"/>
      <c r="T85" s="177" t="str">
        <f t="shared" si="16"/>
        <v/>
      </c>
      <c r="U85" s="114" t="str">
        <f t="shared" si="48"/>
        <v/>
      </c>
      <c r="V85" s="115" t="str">
        <f t="shared" si="17"/>
        <v/>
      </c>
      <c r="W85" s="113" t="str">
        <f t="shared" si="17"/>
        <v/>
      </c>
      <c r="X85" s="98" t="str">
        <f t="shared" si="17"/>
        <v/>
      </c>
      <c r="Y85" s="364"/>
      <c r="Z85" s="364"/>
      <c r="AA85" s="364"/>
      <c r="AB85" s="99" t="str">
        <f t="shared" si="18"/>
        <v/>
      </c>
      <c r="AC85" s="117" t="str">
        <f t="shared" si="19"/>
        <v/>
      </c>
      <c r="AD85" s="115" t="str">
        <f t="shared" si="49"/>
        <v/>
      </c>
      <c r="AE85" s="179" t="str">
        <f t="shared" si="50"/>
        <v/>
      </c>
      <c r="AF85" s="113" t="str">
        <f t="shared" si="20"/>
        <v/>
      </c>
      <c r="AG85" s="114" t="str">
        <f>IF(D85="","",VLOOKUP(F85,'9. All Habitats + Multipliers'!$C$4:$K$102,5,FALSE))</f>
        <v/>
      </c>
      <c r="AH85" s="115" t="str">
        <f>IF(AG85="","",VLOOKUP(AG85,'11. Lists'!$B$47:$D$49,2,FALSE))</f>
        <v/>
      </c>
      <c r="AI85" s="114" t="str">
        <f t="shared" si="21"/>
        <v/>
      </c>
      <c r="AJ85" s="477" t="str">
        <f>IF(AI85="","",VLOOKUP(AI85,'11. Lists'!$F$47:$G$51,2,FALSE))</f>
        <v/>
      </c>
      <c r="AK85" s="478"/>
      <c r="AL85" s="478"/>
      <c r="AM85" s="478"/>
      <c r="AN85" s="477" t="str">
        <f t="shared" si="22"/>
        <v/>
      </c>
      <c r="AO85" s="116" t="str">
        <f>IF(AN85="","",VLOOKUP(AN85,'11. Lists'!$F$36:$H$38,2,FALSE))</f>
        <v/>
      </c>
      <c r="AP85" s="115" t="str">
        <f>IF(AN85="","",VLOOKUP(AN85,'11. Lists'!$F$36:$H$38,3,FALSE))</f>
        <v/>
      </c>
      <c r="AQ85" s="114" t="str">
        <f>IF(D85="","",IF(AX85="Distinctiveness","N/A",VLOOKUP(F85,'10. Condition and Temporal'!$B$6:$L$103,11,FALSE)))</f>
        <v/>
      </c>
      <c r="AR85" s="118" t="str">
        <f>IF(AQ85="","",IF(AQ85="N/A","1",VLOOKUP(AQ85,'11. Lists'!$I$47:$K$80,3,FALSE)))</f>
        <v/>
      </c>
      <c r="AS85" s="134" t="str">
        <f>IF(D85="","",IF(AX85="Condition","N/A",VLOOKUP(F85,'10. Condition and Temporal'!$B$6:$M$106,12,FALSE)))</f>
        <v/>
      </c>
      <c r="AT85" s="118" t="str">
        <f>IF(AS85="","",IF(AS85="N/A","1",VLOOKUP(AS85,'11. Lists'!$I$47:$K$80,3,FALSE)))</f>
        <v/>
      </c>
      <c r="AU85" s="117" t="str">
        <f>IF(D85="","",VLOOKUP(F85,'9. All Habitats + Multipliers'!$C$4:$K$102,8,FALSE))</f>
        <v/>
      </c>
      <c r="AV85" s="115" t="str">
        <f>IF(AU85="","",VLOOKUP(AU85,'11. Lists'!$J$35:$K$38,2,FALSE))</f>
        <v/>
      </c>
      <c r="AW85" s="114" t="str">
        <f>IF(D85="","",VLOOKUP(D85,'10. Condition and Temporal'!$B$6:$M$103,4,FALSE))</f>
        <v/>
      </c>
      <c r="AX85" s="459" t="str">
        <f t="shared" si="23"/>
        <v/>
      </c>
      <c r="AY85" s="483" t="str">
        <v>1</v>
      </c>
      <c r="AZ85" s="479" t="str">
        <v>1</v>
      </c>
      <c r="BA85" s="98">
        <v>20</v>
      </c>
      <c r="BB85" s="95" t="str">
        <f t="shared" si="24"/>
        <v/>
      </c>
      <c r="BC85" s="95" t="str">
        <f t="shared" si="25"/>
        <v/>
      </c>
      <c r="BD85" s="95" t="str">
        <f t="shared" si="26"/>
        <v/>
      </c>
      <c r="BE85" s="95" t="str">
        <f t="shared" si="27"/>
        <v/>
      </c>
      <c r="BF85" s="95" t="str">
        <f t="shared" si="28"/>
        <v/>
      </c>
      <c r="BG85" s="95" t="str">
        <f t="shared" si="29"/>
        <v/>
      </c>
      <c r="BH85" s="95" t="str">
        <f t="shared" si="30"/>
        <v/>
      </c>
      <c r="BI85" s="95" t="str">
        <f t="shared" si="31"/>
        <v/>
      </c>
      <c r="BJ85" s="95" t="str">
        <f t="shared" si="32"/>
        <v/>
      </c>
      <c r="BK85" s="95" t="str">
        <f t="shared" si="33"/>
        <v/>
      </c>
      <c r="BL85" s="95" t="str">
        <f t="shared" si="34"/>
        <v/>
      </c>
      <c r="BM85" s="95" t="str">
        <f t="shared" si="35"/>
        <v/>
      </c>
      <c r="BN85" s="95" t="str">
        <f t="shared" si="36"/>
        <v/>
      </c>
      <c r="BO85" s="95" t="str">
        <f t="shared" si="37"/>
        <v/>
      </c>
      <c r="BP85" s="95" t="str">
        <f t="shared" si="38"/>
        <v/>
      </c>
      <c r="BQ85" s="95" t="str">
        <f t="shared" si="39"/>
        <v/>
      </c>
      <c r="BR85" s="95" t="str">
        <f t="shared" si="40"/>
        <v/>
      </c>
      <c r="BS85" s="95" t="str">
        <f t="shared" si="41"/>
        <v/>
      </c>
      <c r="BT85" s="95" t="str">
        <f t="shared" si="42"/>
        <v/>
      </c>
      <c r="BU85" s="94" t="str">
        <f t="shared" si="43"/>
        <v/>
      </c>
      <c r="BV85" s="184" t="str">
        <f t="shared" si="51"/>
        <v/>
      </c>
      <c r="BW85" s="95" t="s">
        <v>173</v>
      </c>
      <c r="BX85" s="95">
        <f>BU64</f>
        <v>0</v>
      </c>
    </row>
    <row r="86" spans="1:76" s="25" customFormat="1" ht="15" thickBot="1" x14ac:dyDescent="0.35">
      <c r="H86" s="268" t="s">
        <v>224</v>
      </c>
      <c r="I86" s="322">
        <f>SUM(I66:I85)</f>
        <v>0</v>
      </c>
      <c r="J86" s="414"/>
      <c r="L86" s="422">
        <f>SUM(L66:L85)</f>
        <v>0</v>
      </c>
      <c r="M86" s="836">
        <f>SUM(M66:N85)</f>
        <v>0</v>
      </c>
      <c r="N86" s="837"/>
      <c r="R86" s="741"/>
      <c r="AJ86" s="157"/>
      <c r="AK86" s="157"/>
      <c r="AL86" s="157"/>
      <c r="AM86" s="157"/>
      <c r="AN86" s="157"/>
    </row>
    <row r="87" spans="1:76" s="25" customFormat="1" x14ac:dyDescent="0.3">
      <c r="C87" s="26"/>
      <c r="R87" s="741"/>
      <c r="AJ87" s="157"/>
      <c r="AK87" s="157"/>
      <c r="AL87" s="157"/>
      <c r="AM87" s="157"/>
      <c r="AN87" s="157"/>
    </row>
    <row r="88" spans="1:76" s="25" customFormat="1" x14ac:dyDescent="0.3">
      <c r="R88" s="741"/>
      <c r="AJ88" s="157"/>
      <c r="AK88" s="157"/>
      <c r="AL88" s="157"/>
      <c r="AM88" s="157"/>
      <c r="AN88" s="157"/>
    </row>
    <row r="89" spans="1:76" s="25" customFormat="1" ht="19.2" customHeight="1" x14ac:dyDescent="0.3">
      <c r="R89" s="741"/>
      <c r="AJ89" s="157"/>
      <c r="AK89" s="157"/>
      <c r="AL89" s="157"/>
      <c r="AM89" s="157"/>
      <c r="AN89" s="157"/>
    </row>
    <row r="90" spans="1:76" s="25" customFormat="1" x14ac:dyDescent="0.3">
      <c r="R90" s="741"/>
      <c r="AJ90" s="157"/>
      <c r="AK90" s="157"/>
      <c r="AL90" s="157"/>
      <c r="AM90" s="157"/>
      <c r="AN90" s="157"/>
    </row>
    <row r="91" spans="1:76" s="25" customFormat="1" x14ac:dyDescent="0.3">
      <c r="A91" s="807" t="s">
        <v>188</v>
      </c>
      <c r="B91" s="807"/>
      <c r="C91" s="807"/>
      <c r="D91" s="807"/>
      <c r="E91" s="807"/>
      <c r="F91" s="807"/>
      <c r="G91" s="807"/>
      <c r="H91" s="807"/>
      <c r="I91" s="807"/>
      <c r="J91" s="807"/>
      <c r="K91" s="807"/>
      <c r="L91" s="807"/>
      <c r="M91" s="807"/>
      <c r="N91" s="807"/>
      <c r="O91" s="807"/>
      <c r="P91" s="807"/>
      <c r="Q91" s="807"/>
      <c r="R91" s="741"/>
      <c r="AJ91" s="157"/>
      <c r="AK91" s="157"/>
      <c r="AL91" s="157"/>
      <c r="AM91" s="157"/>
      <c r="AN91" s="157"/>
    </row>
    <row r="92" spans="1:76" s="25" customFormat="1" x14ac:dyDescent="0.3">
      <c r="A92" s="807"/>
      <c r="B92" s="807"/>
      <c r="C92" s="807"/>
      <c r="D92" s="807"/>
      <c r="E92" s="807"/>
      <c r="F92" s="807"/>
      <c r="G92" s="807"/>
      <c r="H92" s="807"/>
      <c r="I92" s="807"/>
      <c r="J92" s="807"/>
      <c r="K92" s="807"/>
      <c r="L92" s="807"/>
      <c r="M92" s="807"/>
      <c r="N92" s="807"/>
      <c r="O92" s="807"/>
      <c r="P92" s="807"/>
      <c r="Q92" s="807"/>
      <c r="R92" s="741"/>
      <c r="AJ92" s="157"/>
      <c r="AK92" s="157"/>
      <c r="AL92" s="157"/>
      <c r="AM92" s="157"/>
      <c r="AN92" s="157"/>
    </row>
    <row r="93" spans="1:76" s="25" customFormat="1" x14ac:dyDescent="0.3">
      <c r="A93" s="807"/>
      <c r="B93" s="807"/>
      <c r="C93" s="807"/>
      <c r="D93" s="807"/>
      <c r="E93" s="807"/>
      <c r="F93" s="807"/>
      <c r="G93" s="807"/>
      <c r="H93" s="807"/>
      <c r="I93" s="807"/>
      <c r="J93" s="807"/>
      <c r="K93" s="807"/>
      <c r="L93" s="807"/>
      <c r="M93" s="807"/>
      <c r="N93" s="807"/>
      <c r="O93" s="807"/>
      <c r="P93" s="807"/>
      <c r="Q93" s="807"/>
      <c r="R93" s="741"/>
      <c r="AJ93" s="157"/>
      <c r="AK93" s="157"/>
      <c r="AL93" s="157"/>
      <c r="AM93" s="157"/>
      <c r="AN93" s="157"/>
    </row>
    <row r="94" spans="1:76" s="25" customFormat="1" x14ac:dyDescent="0.3">
      <c r="R94" s="741"/>
      <c r="AJ94" s="157"/>
      <c r="AK94" s="157"/>
      <c r="AL94" s="157"/>
      <c r="AM94" s="157"/>
      <c r="AN94" s="157"/>
    </row>
    <row r="95" spans="1:76" s="25" customFormat="1" ht="21" x14ac:dyDescent="0.4">
      <c r="C95" s="57" t="s">
        <v>189</v>
      </c>
      <c r="D95" s="26"/>
      <c r="E95" s="26"/>
      <c r="F95" s="26"/>
      <c r="G95" s="26"/>
      <c r="R95" s="741"/>
      <c r="AJ95" s="157"/>
      <c r="AK95" s="157"/>
      <c r="AL95" s="157"/>
      <c r="AM95" s="157"/>
      <c r="AN95" s="157"/>
    </row>
    <row r="96" spans="1:76" s="25" customFormat="1" ht="15" thickBot="1" x14ac:dyDescent="0.35">
      <c r="R96" s="741"/>
      <c r="AJ96" s="157"/>
      <c r="AK96" s="157"/>
      <c r="AL96" s="157"/>
      <c r="AM96" s="157"/>
      <c r="AN96" s="157"/>
    </row>
    <row r="97" spans="3:40" s="25" customFormat="1" ht="36.6" customHeight="1" thickBot="1" x14ac:dyDescent="0.35">
      <c r="C97" s="919" t="s">
        <v>229</v>
      </c>
      <c r="D97" s="921"/>
      <c r="E97" s="922" t="str" cm="1">
        <f t="array" aca="1" ref="E97" ca="1">IF(OR(I103:I106="No ▲"),"Error - Trading Rules Not Satisfied ▲","Trading Rules Satisfied ✓")</f>
        <v>Trading Rules Satisfied ✓</v>
      </c>
      <c r="F97" s="922"/>
      <c r="G97" s="922"/>
      <c r="H97" s="922"/>
      <c r="I97" s="923"/>
      <c r="J97" s="157">
        <f ca="1">IFERROR(FIND("Error",E97),0)</f>
        <v>0</v>
      </c>
      <c r="R97" s="741"/>
      <c r="AJ97" s="157"/>
      <c r="AK97" s="157"/>
      <c r="AL97" s="157"/>
      <c r="AM97" s="157"/>
      <c r="AN97" s="157"/>
    </row>
    <row r="98" spans="3:40" s="25" customFormat="1" x14ac:dyDescent="0.3">
      <c r="R98" s="741"/>
      <c r="AJ98" s="157"/>
      <c r="AK98" s="157"/>
      <c r="AL98" s="157"/>
      <c r="AM98" s="157"/>
      <c r="AN98" s="157"/>
    </row>
    <row r="99" spans="3:40" s="25" customFormat="1" ht="21" x14ac:dyDescent="0.4">
      <c r="C99" s="57" t="s">
        <v>192</v>
      </c>
      <c r="R99" s="741"/>
      <c r="AJ99" s="157"/>
      <c r="AK99" s="157"/>
      <c r="AL99" s="157"/>
      <c r="AM99" s="157"/>
      <c r="AN99" s="157"/>
    </row>
    <row r="100" spans="3:40" s="25" customFormat="1" x14ac:dyDescent="0.3">
      <c r="R100" s="741"/>
      <c r="AJ100" s="157"/>
      <c r="AK100" s="157"/>
      <c r="AL100" s="157"/>
      <c r="AM100" s="157"/>
      <c r="AN100" s="157"/>
    </row>
    <row r="101" spans="3:40" s="25" customFormat="1" ht="15" thickBot="1" x14ac:dyDescent="0.35">
      <c r="J101" s="430"/>
      <c r="R101" s="741"/>
      <c r="AJ101" s="157"/>
      <c r="AK101" s="157"/>
      <c r="AL101" s="157"/>
      <c r="AM101" s="157"/>
      <c r="AN101" s="157"/>
    </row>
    <row r="102" spans="3:40" s="25" customFormat="1" ht="40.5" customHeight="1" thickBot="1" x14ac:dyDescent="0.35">
      <c r="C102" s="450" t="s">
        <v>130</v>
      </c>
      <c r="D102" s="440" t="s">
        <v>82</v>
      </c>
      <c r="E102" s="440" t="s">
        <v>255</v>
      </c>
      <c r="F102" s="440" t="s">
        <v>195</v>
      </c>
      <c r="G102" s="440" t="s">
        <v>196</v>
      </c>
      <c r="H102" s="440" t="s">
        <v>197</v>
      </c>
      <c r="I102" s="441" t="s">
        <v>198</v>
      </c>
      <c r="J102" s="431"/>
      <c r="R102" s="741"/>
      <c r="AJ102" s="157"/>
      <c r="AK102" s="157"/>
      <c r="AL102" s="157"/>
      <c r="AM102" s="157"/>
      <c r="AN102" s="157"/>
    </row>
    <row r="103" spans="3:40" s="25" customFormat="1" ht="30" customHeight="1" x14ac:dyDescent="0.3">
      <c r="C103" s="933" t="s">
        <v>249</v>
      </c>
      <c r="D103" s="865" t="s">
        <v>212</v>
      </c>
      <c r="E103" s="442" t="s">
        <v>256</v>
      </c>
      <c r="F103" s="443">
        <f ca="1">SUMIF($D$11:$E$30, $E$103, $L$11:$L$30)</f>
        <v>0</v>
      </c>
      <c r="G103" s="443">
        <f>IF($I$59+$I$86+$P$1=0,0,SUMIF($D$39:$D$58,$E$103,$L$39:$N$58)+SUMIF($F$66:$G$85,$E$103,$L$66:$L$85)+SUMIF($D$11:$E$30,$E$103,$AE$11:$AE$30))</f>
        <v>0</v>
      </c>
      <c r="H103" s="443">
        <f ca="1">$G$103-$F$103</f>
        <v>0</v>
      </c>
      <c r="I103" s="926" t="str">
        <f ca="1">IF(AND($H$103&gt;=0, H104&gt;=0),"Yes ✓", "No ▲")</f>
        <v>Yes ✓</v>
      </c>
      <c r="J103" s="431"/>
      <c r="R103" s="741"/>
      <c r="AJ103" s="157"/>
      <c r="AK103" s="157"/>
      <c r="AL103" s="157"/>
      <c r="AM103" s="157"/>
      <c r="AN103" s="157"/>
    </row>
    <row r="104" spans="3:40" s="25" customFormat="1" ht="30" customHeight="1" x14ac:dyDescent="0.3">
      <c r="C104" s="934"/>
      <c r="D104" s="856"/>
      <c r="E104" s="428" t="s">
        <v>257</v>
      </c>
      <c r="F104" s="429">
        <f ca="1">SUMIF($D$11:$E$30,$E$104,$L$11:$L$30)</f>
        <v>0</v>
      </c>
      <c r="G104" s="429">
        <f>IF($I$59+$I$86+$P$1=0,0,SUMIF($D$39:$D$58,$E$104,$L$39:$N$58)+SUMIF($F$66:$G$85,$E$104,$L$66:$L$85)+SUMIF($D$11:$E$30,$E$104,$AE$11:$AE$30))</f>
        <v>0</v>
      </c>
      <c r="H104" s="429">
        <f ca="1">$G$104-$F$104</f>
        <v>0</v>
      </c>
      <c r="I104" s="927"/>
      <c r="J104" s="431"/>
      <c r="R104" s="741"/>
      <c r="AJ104" s="157"/>
      <c r="AK104" s="157"/>
      <c r="AL104" s="157"/>
      <c r="AM104" s="157"/>
      <c r="AN104" s="157"/>
    </row>
    <row r="105" spans="3:40" s="25" customFormat="1" ht="30" customHeight="1" thickBot="1" x14ac:dyDescent="0.35">
      <c r="C105" s="934"/>
      <c r="D105" s="858"/>
      <c r="E105" s="444" t="s">
        <v>235</v>
      </c>
      <c r="F105" s="445">
        <f ca="1">SUM(F103:F104)</f>
        <v>0</v>
      </c>
      <c r="G105" s="445">
        <f>SUM(G103:G104)</f>
        <v>0</v>
      </c>
      <c r="H105" s="445">
        <f ca="1">SUM($H$103:$H$104)</f>
        <v>0</v>
      </c>
      <c r="I105" s="928"/>
      <c r="J105" s="157">
        <f ca="1">IF($I$103= "No ▲",1,0)</f>
        <v>0</v>
      </c>
      <c r="R105" s="741"/>
      <c r="AJ105" s="157"/>
      <c r="AK105" s="157"/>
      <c r="AL105" s="157"/>
      <c r="AM105" s="157"/>
      <c r="AN105" s="157"/>
    </row>
    <row r="106" spans="3:40" s="25" customFormat="1" ht="30" customHeight="1" thickBot="1" x14ac:dyDescent="0.35">
      <c r="C106" s="935"/>
      <c r="D106" s="446" t="s">
        <v>213</v>
      </c>
      <c r="E106" s="447" t="s">
        <v>258</v>
      </c>
      <c r="F106" s="448">
        <f ca="1">SUMIF($D$11:$E$30,$E$106,$L$11:$L$30)</f>
        <v>0</v>
      </c>
      <c r="G106" s="448">
        <f>IF($I$59+$I$86+$P$1=0,0,SUMIF($D$39:$D$58,$E$106,$L$39:$N$58)+SUMIF($F$66:$G$85,$E$106,$L$66:$L$85)+SUMIF($D$11:$E$30,$E$106,$AE$11:$AE$30))</f>
        <v>0</v>
      </c>
      <c r="H106" s="448">
        <f ca="1">$G$106-$F$106</f>
        <v>0</v>
      </c>
      <c r="I106" s="449" t="str">
        <f ca="1">IF($G$107&gt;=0,"Yes ✓", "No ▲")</f>
        <v>Yes ✓</v>
      </c>
      <c r="J106" s="157">
        <f ca="1">IF($I$106= "No ▲",1,0)</f>
        <v>0</v>
      </c>
      <c r="R106" s="741"/>
      <c r="AJ106" s="157"/>
      <c r="AK106" s="157"/>
      <c r="AL106" s="157"/>
      <c r="AM106" s="157"/>
      <c r="AN106" s="157"/>
    </row>
    <row r="107" spans="3:40" s="25" customFormat="1" ht="12" customHeight="1" thickBot="1" x14ac:dyDescent="0.35">
      <c r="G107" s="434">
        <f ca="1">IF(H105&gt;0,($H$105+$H$106),H106)</f>
        <v>0</v>
      </c>
      <c r="J107" s="430"/>
      <c r="R107" s="741"/>
      <c r="AJ107" s="157"/>
      <c r="AK107" s="157"/>
      <c r="AL107" s="157"/>
      <c r="AM107" s="157"/>
      <c r="AN107" s="157"/>
    </row>
    <row r="108" spans="3:40" s="25" customFormat="1" ht="18" x14ac:dyDescent="0.35">
      <c r="C108" s="704" t="s">
        <v>259</v>
      </c>
      <c r="D108" s="932"/>
      <c r="E108" s="932"/>
      <c r="F108" s="932"/>
      <c r="G108" s="437">
        <f ca="1">$H$105</f>
        <v>0</v>
      </c>
      <c r="H108" s="431"/>
      <c r="J108" s="430"/>
      <c r="R108" s="741"/>
      <c r="AJ108" s="157"/>
      <c r="AK108" s="157"/>
      <c r="AL108" s="157"/>
      <c r="AM108" s="157"/>
      <c r="AN108" s="157"/>
    </row>
    <row r="109" spans="3:40" s="25" customFormat="1" ht="18.600000000000001" thickBot="1" x14ac:dyDescent="0.35">
      <c r="C109" s="858" t="s">
        <v>260</v>
      </c>
      <c r="D109" s="636"/>
      <c r="E109" s="636"/>
      <c r="F109" s="636"/>
      <c r="G109" s="438">
        <f ca="1">IF($H$105&lt;=0,$H$106,($H$106+$H$105))</f>
        <v>0</v>
      </c>
      <c r="R109" s="741"/>
      <c r="AJ109" s="157"/>
      <c r="AK109" s="157"/>
      <c r="AL109" s="157"/>
      <c r="AM109" s="157"/>
      <c r="AN109" s="157"/>
    </row>
    <row r="110" spans="3:40" s="25" customFormat="1" x14ac:dyDescent="0.3">
      <c r="R110" s="741"/>
      <c r="AJ110" s="157"/>
      <c r="AK110" s="157"/>
      <c r="AL110" s="157"/>
      <c r="AM110" s="157"/>
      <c r="AN110" s="157"/>
    </row>
    <row r="111" spans="3:40" s="25" customFormat="1" x14ac:dyDescent="0.3">
      <c r="R111" s="741"/>
      <c r="AJ111" s="157"/>
      <c r="AK111" s="157"/>
      <c r="AL111" s="157"/>
      <c r="AM111" s="157"/>
      <c r="AN111" s="157"/>
    </row>
    <row r="112" spans="3:40" s="25" customFormat="1" x14ac:dyDescent="0.3">
      <c r="R112" s="741"/>
      <c r="AJ112" s="157"/>
      <c r="AK112" s="157"/>
      <c r="AL112" s="157"/>
      <c r="AM112" s="157"/>
      <c r="AN112" s="157"/>
    </row>
    <row r="113" spans="18:40" s="25" customFormat="1" x14ac:dyDescent="0.3">
      <c r="R113" s="741"/>
      <c r="AJ113" s="157"/>
      <c r="AK113" s="157"/>
      <c r="AL113" s="157"/>
      <c r="AM113" s="157"/>
      <c r="AN113" s="157"/>
    </row>
    <row r="114" spans="18:40" s="25" customFormat="1" x14ac:dyDescent="0.3">
      <c r="R114" s="741"/>
      <c r="AJ114" s="157"/>
      <c r="AK114" s="157"/>
      <c r="AL114" s="157"/>
      <c r="AM114" s="157"/>
      <c r="AN114" s="157"/>
    </row>
    <row r="115" spans="18:40" s="25" customFormat="1" x14ac:dyDescent="0.3">
      <c r="R115" s="741"/>
      <c r="AJ115" s="157"/>
      <c r="AK115" s="157"/>
      <c r="AL115" s="157"/>
      <c r="AM115" s="157"/>
      <c r="AN115" s="157"/>
    </row>
    <row r="116" spans="18:40" s="25" customFormat="1" x14ac:dyDescent="0.3">
      <c r="R116" s="741"/>
      <c r="AJ116" s="157"/>
      <c r="AK116" s="157"/>
      <c r="AL116" s="157"/>
      <c r="AM116" s="157"/>
      <c r="AN116" s="157"/>
    </row>
    <row r="117" spans="18:40" s="25" customFormat="1" x14ac:dyDescent="0.3">
      <c r="R117" s="741"/>
      <c r="AJ117" s="157"/>
      <c r="AK117" s="157"/>
      <c r="AL117" s="157"/>
      <c r="AM117" s="157"/>
      <c r="AN117" s="157"/>
    </row>
    <row r="118" spans="18:40" s="25" customFormat="1" x14ac:dyDescent="0.3">
      <c r="R118" s="741"/>
      <c r="AJ118" s="157"/>
      <c r="AK118" s="157"/>
      <c r="AL118" s="157"/>
      <c r="AM118" s="157"/>
      <c r="AN118" s="157"/>
    </row>
    <row r="119" spans="18:40" s="25" customFormat="1" x14ac:dyDescent="0.3">
      <c r="R119" s="741"/>
      <c r="AJ119" s="157"/>
      <c r="AK119" s="157"/>
      <c r="AL119" s="157"/>
      <c r="AM119" s="157"/>
      <c r="AN119" s="157"/>
    </row>
    <row r="120" spans="18:40" s="25" customFormat="1" x14ac:dyDescent="0.3">
      <c r="R120" s="741"/>
      <c r="AJ120" s="157"/>
      <c r="AK120" s="157"/>
      <c r="AL120" s="157"/>
      <c r="AM120" s="157"/>
      <c r="AN120" s="157"/>
    </row>
    <row r="121" spans="18:40" s="25" customFormat="1" x14ac:dyDescent="0.3">
      <c r="R121" s="741"/>
      <c r="AJ121" s="157"/>
      <c r="AK121" s="157"/>
      <c r="AL121" s="157"/>
      <c r="AM121" s="157"/>
      <c r="AN121" s="157"/>
    </row>
    <row r="122" spans="18:40" s="25" customFormat="1" x14ac:dyDescent="0.3">
      <c r="R122" s="741"/>
      <c r="AJ122" s="157"/>
      <c r="AK122" s="157"/>
      <c r="AL122" s="157"/>
      <c r="AM122" s="157"/>
      <c r="AN122" s="157"/>
    </row>
    <row r="123" spans="18:40" s="25" customFormat="1" x14ac:dyDescent="0.3">
      <c r="R123" s="741"/>
      <c r="AJ123" s="157"/>
      <c r="AK123" s="157"/>
      <c r="AL123" s="157"/>
      <c r="AM123" s="157"/>
      <c r="AN123" s="157"/>
    </row>
    <row r="124" spans="18:40" s="25" customFormat="1" x14ac:dyDescent="0.3">
      <c r="R124" s="741"/>
      <c r="AJ124" s="157"/>
      <c r="AK124" s="157"/>
      <c r="AL124" s="157"/>
      <c r="AM124" s="157"/>
      <c r="AN124" s="157"/>
    </row>
    <row r="125" spans="18:40" s="25" customFormat="1" x14ac:dyDescent="0.3">
      <c r="R125" s="741"/>
      <c r="AJ125" s="157"/>
      <c r="AK125" s="157"/>
      <c r="AL125" s="157"/>
      <c r="AM125" s="157"/>
      <c r="AN125" s="157"/>
    </row>
    <row r="126" spans="18:40" s="25" customFormat="1" x14ac:dyDescent="0.3">
      <c r="R126" s="741"/>
      <c r="AJ126" s="157"/>
      <c r="AK126" s="157"/>
      <c r="AL126" s="157"/>
      <c r="AM126" s="157"/>
      <c r="AN126" s="157"/>
    </row>
    <row r="127" spans="18:40" s="25" customFormat="1" x14ac:dyDescent="0.3">
      <c r="R127" s="741"/>
      <c r="AJ127" s="157"/>
      <c r="AK127" s="157"/>
      <c r="AL127" s="157"/>
      <c r="AM127" s="157"/>
      <c r="AN127" s="157"/>
    </row>
    <row r="128" spans="18:40" s="25" customFormat="1" x14ac:dyDescent="0.3">
      <c r="R128" s="741"/>
      <c r="AJ128" s="157"/>
      <c r="AK128" s="157"/>
      <c r="AL128" s="157"/>
      <c r="AM128" s="157"/>
      <c r="AN128" s="157"/>
    </row>
    <row r="129" spans="18:40" s="25" customFormat="1" x14ac:dyDescent="0.3">
      <c r="R129" s="741"/>
      <c r="AJ129" s="157"/>
      <c r="AK129" s="157"/>
      <c r="AL129" s="157"/>
      <c r="AM129" s="157"/>
      <c r="AN129" s="157"/>
    </row>
    <row r="130" spans="18:40" s="25" customFormat="1" x14ac:dyDescent="0.3">
      <c r="R130" s="741"/>
      <c r="AJ130" s="157"/>
      <c r="AK130" s="157"/>
      <c r="AL130" s="157"/>
      <c r="AM130" s="157"/>
      <c r="AN130" s="157"/>
    </row>
    <row r="131" spans="18:40" x14ac:dyDescent="0.3"/>
    <row r="132" spans="18:40" x14ac:dyDescent="0.3"/>
    <row r="133" spans="18:40" x14ac:dyDescent="0.3"/>
    <row r="134" spans="18:40" x14ac:dyDescent="0.3"/>
    <row r="135" spans="18:40" x14ac:dyDescent="0.3"/>
    <row r="136" spans="18:40" x14ac:dyDescent="0.3"/>
    <row r="137" spans="18:40" x14ac:dyDescent="0.3"/>
    <row r="138" spans="18:40" x14ac:dyDescent="0.3"/>
    <row r="139" spans="18:40" x14ac:dyDescent="0.3"/>
    <row r="140" spans="18:40" x14ac:dyDescent="0.3"/>
  </sheetData>
  <sheetProtection algorithmName="SHA-512" hashValue="8+Q60TkglarkY7WW59MTBQbG9uExdLAMMZQ0X+v01pNvObDev1ZK+jXPpPJnpsWDGNMsw/aZFUi/F9tI4+piNA==" saltValue="9wPoxCvYVl7+bP/8mQ7OFg==" spinCount="100000" sheet="1" formatRows="0"/>
  <mergeCells count="272">
    <mergeCell ref="BA63:BA64"/>
    <mergeCell ref="T18:U18"/>
    <mergeCell ref="T19:U19"/>
    <mergeCell ref="T20:U20"/>
    <mergeCell ref="T21:U21"/>
    <mergeCell ref="T22:U22"/>
    <mergeCell ref="T23:U23"/>
    <mergeCell ref="T24:U24"/>
    <mergeCell ref="T25:U25"/>
    <mergeCell ref="T26:U26"/>
    <mergeCell ref="AE37:AF37"/>
    <mergeCell ref="AQ64:AQ65"/>
    <mergeCell ref="AE64:AE65"/>
    <mergeCell ref="AF64:AP64"/>
    <mergeCell ref="AG37:AH37"/>
    <mergeCell ref="AB37:AD37"/>
    <mergeCell ref="AR64:AV64"/>
    <mergeCell ref="T37:V37"/>
    <mergeCell ref="T38:U38"/>
    <mergeCell ref="T39:U39"/>
    <mergeCell ref="T40:U40"/>
    <mergeCell ref="T41:U41"/>
    <mergeCell ref="T42:U42"/>
    <mergeCell ref="T43:U43"/>
    <mergeCell ref="I103:I105"/>
    <mergeCell ref="D103:D105"/>
    <mergeCell ref="T27:U27"/>
    <mergeCell ref="T28:U28"/>
    <mergeCell ref="T29:U29"/>
    <mergeCell ref="T30:U30"/>
    <mergeCell ref="I33:N33"/>
    <mergeCell ref="I58:K58"/>
    <mergeCell ref="L58:N58"/>
    <mergeCell ref="F56:G56"/>
    <mergeCell ref="I56:K56"/>
    <mergeCell ref="L56:N56"/>
    <mergeCell ref="F57:G57"/>
    <mergeCell ref="I57:K57"/>
    <mergeCell ref="L57:N57"/>
    <mergeCell ref="T54:U54"/>
    <mergeCell ref="T55:U55"/>
    <mergeCell ref="T56:U56"/>
    <mergeCell ref="T57:U57"/>
    <mergeCell ref="T58:U58"/>
    <mergeCell ref="M86:N86"/>
    <mergeCell ref="L41:N41"/>
    <mergeCell ref="F54:G54"/>
    <mergeCell ref="I54:K54"/>
    <mergeCell ref="T9:V9"/>
    <mergeCell ref="T10:U10"/>
    <mergeCell ref="T11:U11"/>
    <mergeCell ref="T12:U12"/>
    <mergeCell ref="T13:U13"/>
    <mergeCell ref="T14:U14"/>
    <mergeCell ref="T15:U15"/>
    <mergeCell ref="T16:U16"/>
    <mergeCell ref="T17:U17"/>
    <mergeCell ref="L54:N54"/>
    <mergeCell ref="F52:G52"/>
    <mergeCell ref="I52:K52"/>
    <mergeCell ref="L52:N52"/>
    <mergeCell ref="F53:G53"/>
    <mergeCell ref="I53:K53"/>
    <mergeCell ref="L53:N53"/>
    <mergeCell ref="F40:G40"/>
    <mergeCell ref="F21:H21"/>
    <mergeCell ref="F50:G50"/>
    <mergeCell ref="I50:K50"/>
    <mergeCell ref="L50:N50"/>
    <mergeCell ref="L42:N42"/>
    <mergeCell ref="F43:G43"/>
    <mergeCell ref="I43:K43"/>
    <mergeCell ref="F48:G48"/>
    <mergeCell ref="I48:K48"/>
    <mergeCell ref="L48:N48"/>
    <mergeCell ref="F49:G49"/>
    <mergeCell ref="L43:N43"/>
    <mergeCell ref="I49:K49"/>
    <mergeCell ref="L49:N49"/>
    <mergeCell ref="F46:G46"/>
    <mergeCell ref="I46:K46"/>
    <mergeCell ref="T44:U44"/>
    <mergeCell ref="T45:U45"/>
    <mergeCell ref="T46:U46"/>
    <mergeCell ref="T47:U47"/>
    <mergeCell ref="T48:U48"/>
    <mergeCell ref="T49:U49"/>
    <mergeCell ref="T50:U50"/>
    <mergeCell ref="T51:U51"/>
    <mergeCell ref="T52:U52"/>
    <mergeCell ref="T53:U53"/>
    <mergeCell ref="T64:AD64"/>
    <mergeCell ref="R101:R130"/>
    <mergeCell ref="L64:L65"/>
    <mergeCell ref="M64:N65"/>
    <mergeCell ref="M66:N66"/>
    <mergeCell ref="M67:N67"/>
    <mergeCell ref="M68:N68"/>
    <mergeCell ref="M69:N69"/>
    <mergeCell ref="R98:R100"/>
    <mergeCell ref="A91:Q93"/>
    <mergeCell ref="E97:I97"/>
    <mergeCell ref="R89:R97"/>
    <mergeCell ref="J84:K84"/>
    <mergeCell ref="J85:K85"/>
    <mergeCell ref="M84:N84"/>
    <mergeCell ref="M85:N85"/>
    <mergeCell ref="B64:B65"/>
    <mergeCell ref="F82:G82"/>
    <mergeCell ref="F83:G83"/>
    <mergeCell ref="F65:G65"/>
    <mergeCell ref="F66:G66"/>
    <mergeCell ref="F67:G67"/>
    <mergeCell ref="F68:G68"/>
    <mergeCell ref="F69:G69"/>
    <mergeCell ref="J74:K74"/>
    <mergeCell ref="J75:K75"/>
    <mergeCell ref="J76:K76"/>
    <mergeCell ref="J77:K77"/>
    <mergeCell ref="F55:G55"/>
    <mergeCell ref="I55:K55"/>
    <mergeCell ref="L55:N55"/>
    <mergeCell ref="F72:G72"/>
    <mergeCell ref="F73:G73"/>
    <mergeCell ref="F70:G70"/>
    <mergeCell ref="F71:G71"/>
    <mergeCell ref="F58:G58"/>
    <mergeCell ref="F75:G75"/>
    <mergeCell ref="F76:G76"/>
    <mergeCell ref="F77:G77"/>
    <mergeCell ref="M74:N74"/>
    <mergeCell ref="M75:N75"/>
    <mergeCell ref="I59:K59"/>
    <mergeCell ref="L59:N59"/>
    <mergeCell ref="M71:N71"/>
    <mergeCell ref="F74:G74"/>
    <mergeCell ref="M79:N79"/>
    <mergeCell ref="F84:G84"/>
    <mergeCell ref="F85:G85"/>
    <mergeCell ref="M76:N76"/>
    <mergeCell ref="M77:N77"/>
    <mergeCell ref="J80:K80"/>
    <mergeCell ref="J81:K81"/>
    <mergeCell ref="J78:K78"/>
    <mergeCell ref="J79:K79"/>
    <mergeCell ref="F78:G78"/>
    <mergeCell ref="F79:G79"/>
    <mergeCell ref="F80:G80"/>
    <mergeCell ref="F81:G81"/>
    <mergeCell ref="J83:K83"/>
    <mergeCell ref="J82:K82"/>
    <mergeCell ref="L46:N46"/>
    <mergeCell ref="F47:G47"/>
    <mergeCell ref="I47:K47"/>
    <mergeCell ref="L47:N47"/>
    <mergeCell ref="I44:K44"/>
    <mergeCell ref="F44:G44"/>
    <mergeCell ref="F51:G51"/>
    <mergeCell ref="I51:K51"/>
    <mergeCell ref="L51:N51"/>
    <mergeCell ref="A63:A65"/>
    <mergeCell ref="R63:R88"/>
    <mergeCell ref="C64:D64"/>
    <mergeCell ref="E64:G64"/>
    <mergeCell ref="H64:H65"/>
    <mergeCell ref="I64:I65"/>
    <mergeCell ref="J64:K65"/>
    <mergeCell ref="J68:K68"/>
    <mergeCell ref="J69:K69"/>
    <mergeCell ref="J66:K66"/>
    <mergeCell ref="J67:K67"/>
    <mergeCell ref="O64:P64"/>
    <mergeCell ref="J72:K72"/>
    <mergeCell ref="J73:K73"/>
    <mergeCell ref="M72:N72"/>
    <mergeCell ref="M73:N73"/>
    <mergeCell ref="J70:K70"/>
    <mergeCell ref="J71:K71"/>
    <mergeCell ref="M70:N70"/>
    <mergeCell ref="M82:N82"/>
    <mergeCell ref="M83:N83"/>
    <mergeCell ref="M80:N80"/>
    <mergeCell ref="M81:N81"/>
    <mergeCell ref="M78:N78"/>
    <mergeCell ref="B37:B38"/>
    <mergeCell ref="C37:D37"/>
    <mergeCell ref="E37:G37"/>
    <mergeCell ref="H37:H38"/>
    <mergeCell ref="I37:K38"/>
    <mergeCell ref="L37:N38"/>
    <mergeCell ref="F38:G38"/>
    <mergeCell ref="W37:X37"/>
    <mergeCell ref="Y37:AA37"/>
    <mergeCell ref="R34:R62"/>
    <mergeCell ref="O37:P37"/>
    <mergeCell ref="F39:G39"/>
    <mergeCell ref="I39:K39"/>
    <mergeCell ref="L39:N39"/>
    <mergeCell ref="L44:N44"/>
    <mergeCell ref="F45:G45"/>
    <mergeCell ref="I45:K45"/>
    <mergeCell ref="L45:N45"/>
    <mergeCell ref="I40:K40"/>
    <mergeCell ref="L40:N40"/>
    <mergeCell ref="F41:G41"/>
    <mergeCell ref="I41:K41"/>
    <mergeCell ref="F42:G42"/>
    <mergeCell ref="I42:K42"/>
    <mergeCell ref="D22:E22"/>
    <mergeCell ref="D23:E23"/>
    <mergeCell ref="F23:H23"/>
    <mergeCell ref="D24:E24"/>
    <mergeCell ref="F24:H24"/>
    <mergeCell ref="I32:N32"/>
    <mergeCell ref="D28:E28"/>
    <mergeCell ref="F28:H28"/>
    <mergeCell ref="D29:E29"/>
    <mergeCell ref="F29:H29"/>
    <mergeCell ref="D26:E26"/>
    <mergeCell ref="F26:H26"/>
    <mergeCell ref="D30:E30"/>
    <mergeCell ref="F30:H30"/>
    <mergeCell ref="F27:H27"/>
    <mergeCell ref="D27:E27"/>
    <mergeCell ref="AH9:AH10"/>
    <mergeCell ref="AI9:AI10"/>
    <mergeCell ref="D10:E10"/>
    <mergeCell ref="D11:E11"/>
    <mergeCell ref="F11:H11"/>
    <mergeCell ref="D12:E12"/>
    <mergeCell ref="F12:H12"/>
    <mergeCell ref="O9:P9"/>
    <mergeCell ref="W9:X9"/>
    <mergeCell ref="Y9:AA9"/>
    <mergeCell ref="AB9:AD9"/>
    <mergeCell ref="AE9:AG9"/>
    <mergeCell ref="R1:R31"/>
    <mergeCell ref="C2:D2"/>
    <mergeCell ref="F2:H6"/>
    <mergeCell ref="J2:M5"/>
    <mergeCell ref="C3:D3"/>
    <mergeCell ref="D19:E19"/>
    <mergeCell ref="F19:H19"/>
    <mergeCell ref="D20:E20"/>
    <mergeCell ref="F20:H20"/>
    <mergeCell ref="D21:E21"/>
    <mergeCell ref="D16:E16"/>
    <mergeCell ref="F22:H22"/>
    <mergeCell ref="AJ9:AJ10"/>
    <mergeCell ref="AI37:AI38"/>
    <mergeCell ref="C109:F109"/>
    <mergeCell ref="C97:D97"/>
    <mergeCell ref="C108:F108"/>
    <mergeCell ref="C103:C106"/>
    <mergeCell ref="B9:B10"/>
    <mergeCell ref="C9:E9"/>
    <mergeCell ref="F9:H10"/>
    <mergeCell ref="I9:K9"/>
    <mergeCell ref="L9:N9"/>
    <mergeCell ref="D13:E13"/>
    <mergeCell ref="F13:H13"/>
    <mergeCell ref="D14:E14"/>
    <mergeCell ref="F14:H14"/>
    <mergeCell ref="D15:E15"/>
    <mergeCell ref="F15:H15"/>
    <mergeCell ref="F16:H16"/>
    <mergeCell ref="D17:E17"/>
    <mergeCell ref="F17:H17"/>
    <mergeCell ref="D18:E18"/>
    <mergeCell ref="F18:H18"/>
    <mergeCell ref="D25:E25"/>
    <mergeCell ref="F25:H25"/>
  </mergeCells>
  <conditionalFormatting sqref="AG11:AG30">
    <cfRule type="cellIs" dxfId="188" priority="156" operator="equal">
      <formula>"Unacceptable Loss"</formula>
    </cfRule>
  </conditionalFormatting>
  <conditionalFormatting sqref="X11:X30">
    <cfRule type="cellIs" dxfId="187" priority="157" operator="equal">
      <formula>"Not Possible"</formula>
    </cfRule>
  </conditionalFormatting>
  <conditionalFormatting sqref="AG11:AG30">
    <cfRule type="cellIs" dxfId="186" priority="155" operator="equal">
      <formula>"Unacceptable Loss"</formula>
    </cfRule>
  </conditionalFormatting>
  <conditionalFormatting sqref="AG11:AG30">
    <cfRule type="cellIs" dxfId="185" priority="154" operator="equal">
      <formula>"Unacceptable Loss"</formula>
    </cfRule>
  </conditionalFormatting>
  <conditionalFormatting sqref="I31">
    <cfRule type="cellIs" dxfId="184" priority="132" operator="greaterThan">
      <formula>5000</formula>
    </cfRule>
  </conditionalFormatting>
  <conditionalFormatting sqref="E97">
    <cfRule type="containsText" dxfId="183" priority="126" operator="containsText" text="Trading Rules Satisfied">
      <formula>NOT(ISERROR(SEARCH("Trading Rules Satisfied",E97)))</formula>
    </cfRule>
    <cfRule type="containsText" dxfId="182" priority="127" operator="containsText" text="Error - Trading Rules Not Satisfied">
      <formula>NOT(ISERROR(SEARCH("Error - Trading Rules Not Satisfied",E97)))</formula>
    </cfRule>
  </conditionalFormatting>
  <conditionalFormatting sqref="O6 J2">
    <cfRule type="containsText" dxfId="181" priority="105" operator="containsText" text="Errors Present On Sheet">
      <formula>NOT(ISERROR(SEARCH("Errors Present On Sheet",J2)))</formula>
    </cfRule>
  </conditionalFormatting>
  <conditionalFormatting sqref="X39:X58">
    <cfRule type="cellIs" dxfId="180" priority="104" operator="equal">
      <formula>"Not Possible"</formula>
    </cfRule>
  </conditionalFormatting>
  <conditionalFormatting sqref="I86">
    <cfRule type="expression" dxfId="179" priority="103">
      <formula>"p18=""Avoid"""</formula>
    </cfRule>
  </conditionalFormatting>
  <conditionalFormatting sqref="I86">
    <cfRule type="cellIs" dxfId="178" priority="102" operator="equal">
      <formula>"Any loss Unacceptable"</formula>
    </cfRule>
  </conditionalFormatting>
  <conditionalFormatting sqref="I86">
    <cfRule type="cellIs" dxfId="177" priority="101" operator="equal">
      <formula>"Any loss Unacceptable"</formula>
    </cfRule>
  </conditionalFormatting>
  <conditionalFormatting sqref="L86">
    <cfRule type="expression" dxfId="176" priority="100">
      <formula>"p18=""Avoid"""</formula>
    </cfRule>
  </conditionalFormatting>
  <conditionalFormatting sqref="L86">
    <cfRule type="cellIs" dxfId="175" priority="99" operator="equal">
      <formula>"Any loss Unacceptable"</formula>
    </cfRule>
  </conditionalFormatting>
  <conditionalFormatting sqref="L86">
    <cfRule type="cellIs" dxfId="174" priority="98" operator="equal">
      <formula>"Any loss Unacceptable"</formula>
    </cfRule>
  </conditionalFormatting>
  <conditionalFormatting sqref="F39">
    <cfRule type="containsBlanks" dxfId="173" priority="158" stopIfTrue="1">
      <formula>LEN(TRIM(F39))=0</formula>
    </cfRule>
    <cfRule type="expression" dxfId="172" priority="159">
      <formula>ISNUMBER(SEARCH(F39,E39,1))</formula>
    </cfRule>
  </conditionalFormatting>
  <conditionalFormatting sqref="K11:K30">
    <cfRule type="expression" dxfId="171" priority="87">
      <formula>$AI11="Enhancement not possible"</formula>
    </cfRule>
  </conditionalFormatting>
  <conditionalFormatting sqref="I32:N32">
    <cfRule type="containsText" dxfId="170" priority="85" operator="containsText" text="error">
      <formula>NOT(ISERROR(SEARCH("error",I32)))</formula>
    </cfRule>
    <cfRule type="containsText" dxfId="169" priority="86" operator="containsText" text="acceptable">
      <formula>NOT(ISERROR(SEARCH("acceptable",I32)))</formula>
    </cfRule>
  </conditionalFormatting>
  <conditionalFormatting sqref="J2">
    <cfRule type="containsText" dxfId="168" priority="82" operator="containsText" text="Technical">
      <formula>NOT(ISERROR(SEARCH("Technical",J2)))</formula>
    </cfRule>
  </conditionalFormatting>
  <conditionalFormatting sqref="F40:F57">
    <cfRule type="containsBlanks" dxfId="167" priority="160" stopIfTrue="1">
      <formula>LEN(TRIM(F40))=0</formula>
    </cfRule>
    <cfRule type="expression" dxfId="166" priority="161">
      <formula>ISNUMBER(SEARCH(F40,E40,1))</formula>
    </cfRule>
  </conditionalFormatting>
  <conditionalFormatting sqref="F58">
    <cfRule type="containsBlanks" dxfId="165" priority="79" stopIfTrue="1">
      <formula>LEN(TRIM(F58))=0</formula>
    </cfRule>
    <cfRule type="expression" dxfId="164" priority="80">
      <formula>ISNUMBER(SEARCH(F58,E58,1))</formula>
    </cfRule>
  </conditionalFormatting>
  <conditionalFormatting sqref="AJ66:AJ85">
    <cfRule type="cellIs" dxfId="163" priority="57" operator="equal">
      <formula>"Not Possible"</formula>
    </cfRule>
  </conditionalFormatting>
  <conditionalFormatting sqref="F66:G85">
    <cfRule type="expression" dxfId="162" priority="55">
      <formula>$D66=""</formula>
    </cfRule>
  </conditionalFormatting>
  <conditionalFormatting sqref="E66:E85">
    <cfRule type="cellIs" dxfId="161" priority="56" operator="equal">
      <formula>"Enhancement not possible"</formula>
    </cfRule>
  </conditionalFormatting>
  <conditionalFormatting sqref="M66:M85">
    <cfRule type="cellIs" dxfId="160" priority="54" operator="equal">
      <formula>"Unacceptable Loss"</formula>
    </cfRule>
  </conditionalFormatting>
  <conditionalFormatting sqref="M66:M85">
    <cfRule type="cellIs" dxfId="159" priority="52" operator="equal">
      <formula>"Compensation Agreed"</formula>
    </cfRule>
    <cfRule type="cellIs" dxfId="158" priority="53" operator="equal">
      <formula>"Unacceptable Loss"</formula>
    </cfRule>
  </conditionalFormatting>
  <conditionalFormatting sqref="M66:M85">
    <cfRule type="cellIs" dxfId="157" priority="51" operator="equal">
      <formula>"Unacceptable Loss"</formula>
    </cfRule>
  </conditionalFormatting>
  <conditionalFormatting sqref="M66:M85">
    <cfRule type="cellIs" dxfId="156" priority="50" operator="equal">
      <formula>"Unacceptable Loss"</formula>
    </cfRule>
  </conditionalFormatting>
  <conditionalFormatting sqref="M66:M85">
    <cfRule type="cellIs" dxfId="155" priority="48" operator="equal">
      <formula>"Compensation Agreed"</formula>
    </cfRule>
    <cfRule type="cellIs" dxfId="154" priority="49" operator="equal">
      <formula>"Unacceptable Loss"</formula>
    </cfRule>
  </conditionalFormatting>
  <conditionalFormatting sqref="M66:M85">
    <cfRule type="cellIs" dxfId="153" priority="47" operator="equal">
      <formula>"Unacceptable Loss"</formula>
    </cfRule>
  </conditionalFormatting>
  <conditionalFormatting sqref="M66:M85">
    <cfRule type="cellIs" dxfId="152" priority="46" operator="equal">
      <formula>"Alternative Compensation"</formula>
    </cfRule>
  </conditionalFormatting>
  <conditionalFormatting sqref="L11:M30">
    <cfRule type="expression" dxfId="151" priority="45">
      <formula>"p18=""Avoid"""</formula>
    </cfRule>
  </conditionalFormatting>
  <conditionalFormatting sqref="L11:M30">
    <cfRule type="cellIs" dxfId="150" priority="44" operator="equal">
      <formula>"Any loss Unacceptable"</formula>
    </cfRule>
  </conditionalFormatting>
  <conditionalFormatting sqref="L11:M30">
    <cfRule type="cellIs" dxfId="149" priority="43" operator="equal">
      <formula>"Any loss Unacceptable"</formula>
    </cfRule>
  </conditionalFormatting>
  <conditionalFormatting sqref="N11:N30">
    <cfRule type="containsText" dxfId="148" priority="29" operator="containsText" text="value">
      <formula>NOT(ISERROR(SEARCH("value",N11)))</formula>
    </cfRule>
    <cfRule type="cellIs" dxfId="147" priority="39" operator="equal">
      <formula>"Unacceptable Loss"</formula>
    </cfRule>
  </conditionalFormatting>
  <conditionalFormatting sqref="N11:N30">
    <cfRule type="cellIs" dxfId="146" priority="42" operator="equal">
      <formula>"Unacceptable Loss"</formula>
    </cfRule>
  </conditionalFormatting>
  <conditionalFormatting sqref="N11:N30">
    <cfRule type="cellIs" dxfId="145" priority="40" operator="equal">
      <formula>"Compensation Agreed"</formula>
    </cfRule>
    <cfRule type="cellIs" dxfId="144" priority="41" operator="equal">
      <formula>"Unacceptable Loss"</formula>
    </cfRule>
  </conditionalFormatting>
  <conditionalFormatting sqref="N11:N30">
    <cfRule type="cellIs" dxfId="143" priority="38" operator="equal">
      <formula>"Unacceptable Loss"</formula>
    </cfRule>
  </conditionalFormatting>
  <conditionalFormatting sqref="N11:N30">
    <cfRule type="cellIs" dxfId="142" priority="36" operator="equal">
      <formula>"Compensation Agreed"</formula>
    </cfRule>
    <cfRule type="cellIs" dxfId="141" priority="37" operator="equal">
      <formula>"Unacceptable Loss"</formula>
    </cfRule>
  </conditionalFormatting>
  <conditionalFormatting sqref="N11:N30">
    <cfRule type="cellIs" dxfId="140" priority="35" operator="equal">
      <formula>"Unacceptable Loss"</formula>
    </cfRule>
  </conditionalFormatting>
  <conditionalFormatting sqref="N11:N30">
    <cfRule type="cellIs" dxfId="139" priority="34" operator="equal">
      <formula>"Alternative Compensation"</formula>
    </cfRule>
  </conditionalFormatting>
  <conditionalFormatting sqref="M11:M30">
    <cfRule type="containsText" dxfId="138" priority="33" operator="containsText" text="error">
      <formula>NOT(ISERROR(SEARCH("error",M11)))</formula>
    </cfRule>
  </conditionalFormatting>
  <conditionalFormatting sqref="N11:N30">
    <cfRule type="containsText" dxfId="137" priority="32" operator="containsText" text="▲">
      <formula>NOT(ISERROR(SEARCH("▲",N11)))</formula>
    </cfRule>
  </conditionalFormatting>
  <conditionalFormatting sqref="L11:L30">
    <cfRule type="containsText" dxfId="136" priority="31" operator="containsText" text="value">
      <formula>NOT(ISERROR(SEARCH("value",L11)))</formula>
    </cfRule>
  </conditionalFormatting>
  <conditionalFormatting sqref="L11:L30">
    <cfRule type="containsText" dxfId="135" priority="30" operator="containsText" text="▲">
      <formula>NOT(ISERROR(SEARCH("▲",L11)))</formula>
    </cfRule>
  </conditionalFormatting>
  <conditionalFormatting sqref="L39:M58">
    <cfRule type="cellIs" dxfId="134" priority="28" operator="equal">
      <formula>"Unacceptable Loss"</formula>
    </cfRule>
  </conditionalFormatting>
  <conditionalFormatting sqref="L39:M58">
    <cfRule type="cellIs" dxfId="133" priority="26" operator="equal">
      <formula>"Compensation Agreed"</formula>
    </cfRule>
    <cfRule type="cellIs" dxfId="132" priority="27" operator="equal">
      <formula>"Unacceptable Loss"</formula>
    </cfRule>
  </conditionalFormatting>
  <conditionalFormatting sqref="L39:M58">
    <cfRule type="cellIs" dxfId="131" priority="25" operator="equal">
      <formula>"Unacceptable Loss"</formula>
    </cfRule>
  </conditionalFormatting>
  <conditionalFormatting sqref="L39:M58">
    <cfRule type="cellIs" dxfId="130" priority="24" operator="equal">
      <formula>"Unacceptable Loss"</formula>
    </cfRule>
  </conditionalFormatting>
  <conditionalFormatting sqref="L39:M58">
    <cfRule type="cellIs" dxfId="129" priority="22" operator="equal">
      <formula>"Compensation Agreed"</formula>
    </cfRule>
    <cfRule type="cellIs" dxfId="128" priority="23" operator="equal">
      <formula>"Unacceptable Loss"</formula>
    </cfRule>
  </conditionalFormatting>
  <conditionalFormatting sqref="L39:M58">
    <cfRule type="cellIs" dxfId="127" priority="21" operator="equal">
      <formula>"Unacceptable Loss"</formula>
    </cfRule>
  </conditionalFormatting>
  <conditionalFormatting sqref="L39:M58">
    <cfRule type="cellIs" dxfId="126" priority="20" operator="equal">
      <formula>"Alternative Compensation"</formula>
    </cfRule>
  </conditionalFormatting>
  <conditionalFormatting sqref="L39:N58">
    <cfRule type="containsText" dxfId="125" priority="18" operator="containsText" text="▲">
      <formula>NOT(ISERROR(SEARCH("▲",L39)))</formula>
    </cfRule>
    <cfRule type="containsText" dxfId="124" priority="19" operator="containsText" text="value">
      <formula>NOT(ISERROR(SEARCH("value",L39)))</formula>
    </cfRule>
  </conditionalFormatting>
  <conditionalFormatting sqref="L66:L85">
    <cfRule type="cellIs" dxfId="123" priority="17" operator="equal">
      <formula>"Unacceptable Loss"</formula>
    </cfRule>
  </conditionalFormatting>
  <conditionalFormatting sqref="L66:L85">
    <cfRule type="cellIs" dxfId="122" priority="15" operator="equal">
      <formula>"Compensation Agreed"</formula>
    </cfRule>
    <cfRule type="cellIs" dxfId="121" priority="16" operator="equal">
      <formula>"Unacceptable Loss"</formula>
    </cfRule>
  </conditionalFormatting>
  <conditionalFormatting sqref="L66:L85">
    <cfRule type="cellIs" dxfId="120" priority="14" operator="equal">
      <formula>"Unacceptable Loss"</formula>
    </cfRule>
  </conditionalFormatting>
  <conditionalFormatting sqref="L66:L85">
    <cfRule type="cellIs" dxfId="119" priority="13" operator="equal">
      <formula>"Unacceptable Loss"</formula>
    </cfRule>
  </conditionalFormatting>
  <conditionalFormatting sqref="L66:L85">
    <cfRule type="cellIs" dxfId="118" priority="11" operator="equal">
      <formula>"Compensation Agreed"</formula>
    </cfRule>
    <cfRule type="cellIs" dxfId="117" priority="12" operator="equal">
      <formula>"Unacceptable Loss"</formula>
    </cfRule>
  </conditionalFormatting>
  <conditionalFormatting sqref="L66:L85">
    <cfRule type="cellIs" dxfId="116" priority="10" operator="equal">
      <formula>"Unacceptable Loss"</formula>
    </cfRule>
  </conditionalFormatting>
  <conditionalFormatting sqref="L66:L85">
    <cfRule type="cellIs" dxfId="115" priority="9" operator="equal">
      <formula>"Alternative Compensation"</formula>
    </cfRule>
  </conditionalFormatting>
  <conditionalFormatting sqref="L66:L85">
    <cfRule type="containsText" dxfId="114" priority="8" operator="containsText" text="▲">
      <formula>NOT(ISERROR(SEARCH("▲",L66)))</formula>
    </cfRule>
  </conditionalFormatting>
  <conditionalFormatting sqref="I33:N33">
    <cfRule type="containsText" dxfId="113" priority="6" operator="containsText" text="▲">
      <formula>NOT(ISERROR(SEARCH("▲",I33)))</formula>
    </cfRule>
    <cfRule type="containsText" dxfId="112" priority="7" operator="containsText" text=" ✓">
      <formula>NOT(ISERROR(SEARCH(" ✓",I33)))</formula>
    </cfRule>
  </conditionalFormatting>
  <conditionalFormatting sqref="P1:P5">
    <cfRule type="containsText" dxfId="111" priority="5" operator="containsText" text="▲">
      <formula>NOT(ISERROR(SEARCH("▲",P1)))</formula>
    </cfRule>
  </conditionalFormatting>
  <conditionalFormatting sqref="M66:N85">
    <cfRule type="containsText" dxfId="110" priority="4" operator="containsText" text="▲">
      <formula>NOT(ISERROR(SEARCH("▲",M66)))</formula>
    </cfRule>
  </conditionalFormatting>
  <conditionalFormatting sqref="I103 I106">
    <cfRule type="containsText" dxfId="109" priority="1" operator="containsText" text="No">
      <formula>NOT(ISERROR(SEARCH("No",I103)))</formula>
    </cfRule>
    <cfRule type="containsText" dxfId="108" priority="2" operator="containsText" text="Yes">
      <formula>NOT(ISERROR(SEARCH("Yes",I103)))</formula>
    </cfRule>
  </conditionalFormatting>
  <dataValidations count="2">
    <dataValidation type="list" allowBlank="1" showInputMessage="1" showErrorMessage="1" sqref="D11:E30 D39:D58" xr:uid="{1BF46373-F28E-462B-8BA2-B0F689C17EF1}">
      <formula1>INDIRECT(SUBSTITUTE(C11," ",""))</formula1>
    </dataValidation>
    <dataValidation type="list" allowBlank="1" showInputMessage="1" showErrorMessage="1" sqref="F66:G85" xr:uid="{3EC7B8B2-4D6C-4FEC-A881-B24C8E3A3005}">
      <formula1>INDIRECT(BV66)</formula1>
    </dataValidation>
  </dataValidations>
  <pageMargins left="0.7" right="0.7" top="0.75" bottom="0.75" header="0.3" footer="0.3"/>
  <pageSetup paperSize="9" scale="25" orientation="portrait" r:id="rId1"/>
  <ignoredErrors>
    <ignoredError sqref="V11" evalError="1"/>
  </ignoredErrors>
  <extLst>
    <ext xmlns:x14="http://schemas.microsoft.com/office/spreadsheetml/2009/9/main" uri="{CCE6A557-97BC-4b89-ADB6-D9C93CAAB3DF}">
      <x14:dataValidations xmlns:xm="http://schemas.microsoft.com/office/excel/2006/main" count="2">
        <x14:dataValidation type="list" allowBlank="1" showInputMessage="1" showErrorMessage="1" xr:uid="{4E1F5520-5AED-461C-8F50-C8F4D010C136}">
          <x14:formula1>
            <xm:f>'11. Lists'!$F$36:$F$37</xm:f>
          </x14:formula1>
          <xm:sqref>H66:H85 F11:H30 H39:H58</xm:sqref>
        </x14:dataValidation>
        <x14:dataValidation type="list" allowBlank="1" showInputMessage="1" showErrorMessage="1" xr:uid="{3093539A-51A3-4FE7-A4D0-FB77CE23015D}">
          <x14:formula1>
            <xm:f>'11. Lists'!$F$47:$F$51</xm:f>
          </x14:formula1>
          <xm:sqref>F39:F58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0743-8657-4010-ADC8-C713B63CD1F8}">
  <sheetPr codeName="Sheet8">
    <tabColor rgb="FFFFC000"/>
    <pageSetUpPr fitToPage="1"/>
  </sheetPr>
  <dimension ref="A1:AF74"/>
  <sheetViews>
    <sheetView zoomScale="80" zoomScaleNormal="80" workbookViewId="0"/>
  </sheetViews>
  <sheetFormatPr defaultColWidth="0" defaultRowHeight="15.6" zeroHeight="1" x14ac:dyDescent="0.3"/>
  <cols>
    <col min="1" max="1" width="14.21875" customWidth="1"/>
    <col min="2" max="2" width="30.5546875" customWidth="1"/>
    <col min="3" max="3" width="45.21875" customWidth="1"/>
    <col min="4" max="4" width="76.44140625" customWidth="1"/>
    <col min="5" max="5" width="13" bestFit="1" customWidth="1"/>
    <col min="6" max="6" width="19.5546875" style="495" customWidth="1"/>
    <col min="7" max="7" width="29.21875" hidden="1" customWidth="1"/>
    <col min="8" max="9" width="10.77734375" hidden="1" customWidth="1"/>
    <col min="10" max="10" width="15" hidden="1" customWidth="1"/>
    <col min="11" max="11" width="10.21875" hidden="1" customWidth="1"/>
    <col min="12" max="16" width="8.77734375" hidden="1" customWidth="1"/>
    <col min="17" max="17" width="11.5546875" hidden="1" customWidth="1"/>
    <col min="18" max="18" width="8.77734375" hidden="1" customWidth="1"/>
    <col min="19" max="19" width="11.21875" hidden="1" customWidth="1"/>
    <col min="20" max="24" width="8.77734375" hidden="1" customWidth="1"/>
    <col min="25" max="32" width="0" hidden="1" customWidth="1"/>
    <col min="33" max="16384" width="8.77734375" hidden="1"/>
  </cols>
  <sheetData>
    <row r="1" spans="1:24" ht="16.2" thickBot="1" x14ac:dyDescent="0.35">
      <c r="A1" s="25"/>
      <c r="B1" s="25"/>
      <c r="C1" s="25"/>
      <c r="D1" s="25"/>
      <c r="E1" s="25"/>
      <c r="F1" s="490"/>
      <c r="G1" s="25"/>
      <c r="H1" s="25"/>
      <c r="I1" s="25"/>
      <c r="J1" s="25"/>
      <c r="K1" s="25"/>
      <c r="L1" s="25"/>
      <c r="M1" s="25"/>
      <c r="N1" s="25"/>
      <c r="O1" s="25"/>
      <c r="P1" s="25"/>
      <c r="Q1" s="25"/>
      <c r="R1" s="25"/>
      <c r="S1" s="25"/>
      <c r="T1" s="25"/>
      <c r="U1" s="25"/>
      <c r="V1" s="25"/>
      <c r="W1" s="25"/>
      <c r="X1" s="25"/>
    </row>
    <row r="2" spans="1:24" ht="24.6" customHeight="1" x14ac:dyDescent="0.35">
      <c r="A2" s="25"/>
      <c r="B2" s="648" t="s">
        <v>53</v>
      </c>
      <c r="C2" s="649"/>
      <c r="D2" s="638" t="str">
        <f>IF('2. Site Details'!D4="","Enter site name on 2. Site Details",'2. Site Details'!D4)</f>
        <v>Toad Hall Farm</v>
      </c>
      <c r="E2" s="639"/>
      <c r="F2" s="497"/>
      <c r="G2" s="52"/>
      <c r="H2" s="52"/>
      <c r="I2" s="52"/>
      <c r="J2" s="52"/>
      <c r="K2" s="52"/>
      <c r="L2" s="52"/>
      <c r="M2" s="52"/>
      <c r="N2" s="52"/>
      <c r="O2" s="52"/>
      <c r="P2" s="52"/>
      <c r="Q2" s="52"/>
      <c r="R2" s="52"/>
      <c r="S2" s="52"/>
      <c r="T2" s="52"/>
      <c r="U2" s="52"/>
      <c r="V2" s="52"/>
      <c r="W2" s="52"/>
      <c r="X2" s="25"/>
    </row>
    <row r="3" spans="1:24" ht="24.6" customHeight="1" thickBot="1" x14ac:dyDescent="0.4">
      <c r="A3" s="25"/>
      <c r="B3" s="644" t="s">
        <v>13</v>
      </c>
      <c r="C3" s="645"/>
      <c r="D3" s="636" t="s">
        <v>261</v>
      </c>
      <c r="E3" s="637"/>
      <c r="F3" s="491"/>
      <c r="G3" s="52"/>
      <c r="H3" s="985"/>
      <c r="I3" s="985"/>
      <c r="J3" s="985"/>
      <c r="K3" s="985"/>
      <c r="L3" s="985"/>
      <c r="M3" s="985"/>
      <c r="N3" s="985"/>
      <c r="O3" s="985"/>
      <c r="P3" s="52"/>
      <c r="Q3" s="52"/>
      <c r="R3" s="52"/>
      <c r="S3" s="52"/>
      <c r="T3" s="52"/>
      <c r="U3" s="52"/>
      <c r="V3" s="52"/>
      <c r="W3" s="52"/>
      <c r="X3" s="25"/>
    </row>
    <row r="4" spans="1:24" ht="34.200000000000003" customHeight="1" thickBot="1" x14ac:dyDescent="0.35">
      <c r="A4" s="25"/>
      <c r="B4" s="56" t="s">
        <v>261</v>
      </c>
      <c r="C4" s="25"/>
      <c r="D4" s="25"/>
      <c r="E4" s="25"/>
      <c r="F4" s="491"/>
      <c r="G4" s="52"/>
      <c r="H4" s="52"/>
      <c r="I4" s="52"/>
      <c r="J4" s="52"/>
      <c r="K4" s="52"/>
      <c r="L4" s="52"/>
      <c r="M4" s="52"/>
      <c r="N4" s="52"/>
      <c r="O4" s="52"/>
      <c r="P4" s="52"/>
      <c r="Q4" s="52"/>
      <c r="R4" s="52"/>
      <c r="S4" s="52"/>
      <c r="T4" s="52"/>
      <c r="U4" s="52"/>
      <c r="V4" s="52"/>
      <c r="W4" s="52"/>
      <c r="X4" s="25"/>
    </row>
    <row r="5" spans="1:24" ht="24.6" customHeight="1" thickBot="1" x14ac:dyDescent="0.35">
      <c r="A5" s="25"/>
      <c r="B5" s="621" t="s">
        <v>262</v>
      </c>
      <c r="C5" s="997"/>
      <c r="D5" s="1007" t="str">
        <f>IF(OR(D27&gt;0,D28&gt;0,D29&gt;0),"BNG Targets Not Met ▲","BNG Targets Met ✓")</f>
        <v>BNG Targets Met ✓</v>
      </c>
      <c r="E5" s="923"/>
      <c r="F5" s="491"/>
      <c r="G5" s="52"/>
      <c r="H5" s="52"/>
      <c r="I5" s="52"/>
      <c r="J5" s="52"/>
      <c r="K5" s="52"/>
      <c r="L5" s="52"/>
      <c r="M5" s="52"/>
      <c r="N5" s="52"/>
      <c r="O5" s="52"/>
      <c r="P5" s="52"/>
      <c r="Q5" s="52"/>
      <c r="R5" s="52"/>
      <c r="S5" s="52"/>
      <c r="T5" s="52"/>
      <c r="U5" s="52"/>
      <c r="V5" s="52"/>
      <c r="W5" s="52"/>
      <c r="X5" s="25"/>
    </row>
    <row r="6" spans="1:24" ht="24.6" customHeight="1" thickBot="1" x14ac:dyDescent="0.4">
      <c r="A6" s="25"/>
      <c r="B6" s="25"/>
      <c r="C6" s="25"/>
      <c r="D6" s="165"/>
      <c r="E6" s="165"/>
      <c r="F6" s="491"/>
      <c r="G6" s="52"/>
      <c r="H6" s="52"/>
      <c r="I6" s="52"/>
      <c r="J6" s="52"/>
      <c r="K6" s="52"/>
      <c r="L6" s="52"/>
      <c r="M6" s="52"/>
      <c r="N6" s="52"/>
      <c r="O6" s="52"/>
      <c r="P6" s="52"/>
      <c r="Q6" s="52"/>
      <c r="R6" s="52"/>
      <c r="S6" s="52"/>
      <c r="T6" s="52"/>
      <c r="U6" s="52"/>
      <c r="V6" s="52"/>
      <c r="W6" s="52"/>
      <c r="X6" s="25"/>
    </row>
    <row r="7" spans="1:24" ht="24.6" customHeight="1" thickBot="1" x14ac:dyDescent="0.35">
      <c r="A7" s="25"/>
      <c r="B7" s="621" t="s">
        <v>263</v>
      </c>
      <c r="C7" s="622"/>
      <c r="D7" s="1004" t="str">
        <f ca="1">IF('5. Area Habitats'!J108+'5. Area Habitats'!J109+'6. Hedges &amp; Lines of Trees'!J97+'7. Watercourses'!J97&gt;0,"Trading Rules Not Satisfied ▲","Trading Rules Satisfied ✓")</f>
        <v>Trading Rules Satisfied ✓</v>
      </c>
      <c r="E7" s="1005"/>
      <c r="F7" s="498"/>
      <c r="G7" s="383"/>
      <c r="H7" s="384"/>
      <c r="I7" s="385"/>
      <c r="J7" s="52"/>
      <c r="K7" s="52"/>
      <c r="L7" s="52"/>
      <c r="M7" s="52"/>
      <c r="N7" s="52"/>
      <c r="O7" s="52"/>
      <c r="P7" s="52"/>
      <c r="Q7" s="52"/>
      <c r="R7" s="52"/>
      <c r="S7" s="52"/>
      <c r="T7" s="52"/>
      <c r="U7" s="52"/>
      <c r="V7" s="52"/>
      <c r="W7" s="52"/>
      <c r="X7" s="25"/>
    </row>
    <row r="8" spans="1:24" ht="24.6" customHeight="1" thickBot="1" x14ac:dyDescent="0.4">
      <c r="A8" s="25"/>
      <c r="B8" s="25"/>
      <c r="C8" s="25"/>
      <c r="D8" s="165"/>
      <c r="E8" s="165"/>
      <c r="F8" s="498"/>
      <c r="G8" s="52"/>
      <c r="H8" s="52"/>
      <c r="I8" s="52"/>
      <c r="J8" s="52"/>
      <c r="K8" s="52"/>
      <c r="L8" s="52"/>
      <c r="M8" s="52"/>
      <c r="N8" s="52"/>
      <c r="O8" s="52"/>
      <c r="P8" s="52"/>
      <c r="Q8" s="52"/>
      <c r="R8" s="52"/>
      <c r="S8" s="52"/>
      <c r="T8" s="52"/>
      <c r="U8" s="52"/>
      <c r="V8" s="52"/>
      <c r="W8" s="52"/>
      <c r="X8" s="25"/>
    </row>
    <row r="9" spans="1:24" ht="24.6" customHeight="1" thickBot="1" x14ac:dyDescent="0.35">
      <c r="A9" s="25"/>
      <c r="B9" s="621" t="s">
        <v>264</v>
      </c>
      <c r="C9" s="997"/>
      <c r="D9" s="1008" t="str">
        <f ca="1">IF(OR(D5="BNG Targets Not Met ▲",D7="Trading Rules Not Satisfied ▲"),"Scheme alterations or offsite units required","Check for input errors/rule breaks present in the metric ⚠")</f>
        <v>Check for input errors/rule breaks present in the metric ⚠</v>
      </c>
      <c r="E9" s="1009"/>
      <c r="F9" s="491"/>
      <c r="G9" s="29"/>
      <c r="H9" s="29"/>
      <c r="I9" s="29"/>
      <c r="J9" s="29"/>
      <c r="K9" s="29"/>
      <c r="L9" s="29"/>
      <c r="M9" s="29"/>
      <c r="N9" s="29"/>
      <c r="O9" s="29"/>
      <c r="P9" s="29"/>
      <c r="Q9" s="54"/>
      <c r="R9" s="29"/>
      <c r="S9" s="52"/>
      <c r="T9" s="52"/>
      <c r="U9" s="52"/>
      <c r="V9" s="52"/>
      <c r="W9" s="52"/>
      <c r="X9" s="25"/>
    </row>
    <row r="10" spans="1:24" ht="43.5" customHeight="1" thickBot="1" x14ac:dyDescent="0.35">
      <c r="A10" s="25"/>
      <c r="B10" s="25"/>
      <c r="C10" s="25"/>
      <c r="D10" s="1006"/>
      <c r="E10" s="1006"/>
      <c r="F10" s="491" t="s">
        <v>265</v>
      </c>
      <c r="G10" s="29"/>
      <c r="H10" s="29"/>
      <c r="I10" s="29"/>
      <c r="J10" s="29"/>
      <c r="K10" s="29"/>
      <c r="L10" s="29"/>
      <c r="M10" s="29"/>
      <c r="N10" s="29"/>
      <c r="O10" s="29"/>
      <c r="P10" s="29"/>
      <c r="Q10" s="54"/>
      <c r="R10" s="29"/>
      <c r="S10" s="52"/>
      <c r="T10" s="52"/>
      <c r="U10" s="52"/>
      <c r="V10" s="52"/>
      <c r="W10" s="52"/>
      <c r="X10" s="25"/>
    </row>
    <row r="11" spans="1:24" ht="24.6" customHeight="1" x14ac:dyDescent="0.3">
      <c r="A11" s="25"/>
      <c r="B11" s="988" t="s">
        <v>266</v>
      </c>
      <c r="C11" s="273" t="s">
        <v>1046</v>
      </c>
      <c r="D11" s="484">
        <f>IF('5. Area Habitats'!L32=0,"Zero Units Baseline",'5. Area Habitats'!L32)</f>
        <v>1.2971600000000001</v>
      </c>
      <c r="E11" s="485"/>
      <c r="F11" s="491">
        <f>('2. Site Details'!$D$13/100)*$D$11</f>
        <v>0.12971600000000003</v>
      </c>
      <c r="G11" s="379"/>
      <c r="H11" s="29"/>
      <c r="I11" s="29"/>
      <c r="J11" s="29"/>
      <c r="K11" s="29"/>
      <c r="L11" s="29"/>
      <c r="M11" s="29"/>
      <c r="N11" s="29"/>
      <c r="O11" s="29"/>
      <c r="P11" s="29"/>
      <c r="Q11" s="54"/>
      <c r="R11" s="29"/>
      <c r="S11" s="52"/>
      <c r="T11" s="52"/>
      <c r="U11" s="52"/>
      <c r="V11" s="52"/>
      <c r="W11" s="52"/>
      <c r="X11" s="25"/>
    </row>
    <row r="12" spans="1:24" ht="24.6" customHeight="1" x14ac:dyDescent="0.3">
      <c r="A12" s="25"/>
      <c r="B12" s="989"/>
      <c r="C12" s="274" t="s">
        <v>268</v>
      </c>
      <c r="D12" s="486">
        <f>IF('6. Hedges &amp; Lines of Trees'!L31=0,"Zero Units Baseline",'6. Hedges &amp; Lines of Trees'!L31)</f>
        <v>0.26</v>
      </c>
      <c r="E12" s="487"/>
      <c r="F12" s="491">
        <f>('2. Site Details'!$D$14/100)*$D$12</f>
        <v>2.6000000000000002E-2</v>
      </c>
      <c r="G12" s="380"/>
      <c r="H12" s="29"/>
      <c r="I12" s="29"/>
      <c r="J12" s="29"/>
      <c r="K12" s="29"/>
      <c r="L12" s="29"/>
      <c r="M12" s="29"/>
      <c r="N12" s="29"/>
      <c r="O12" s="29"/>
      <c r="P12" s="29"/>
      <c r="Q12" s="54"/>
      <c r="R12" s="29"/>
      <c r="S12" s="52"/>
      <c r="T12" s="52"/>
      <c r="U12" s="52"/>
      <c r="V12" s="52"/>
      <c r="W12" s="52"/>
      <c r="X12" s="25"/>
    </row>
    <row r="13" spans="1:24" ht="24.6" customHeight="1" thickBot="1" x14ac:dyDescent="0.35">
      <c r="A13" s="25"/>
      <c r="B13" s="990"/>
      <c r="C13" s="275" t="s">
        <v>269</v>
      </c>
      <c r="D13" s="488" t="str">
        <f>IF('7. Watercourses'!L31=0,"Zero Units Baseline",'7. Watercourses'!L31)</f>
        <v>Zero Units Baseline</v>
      </c>
      <c r="E13" s="489"/>
      <c r="F13" s="491" t="e">
        <f>('2. Site Details'!$D$15/100)*$D$13</f>
        <v>#VALUE!</v>
      </c>
      <c r="G13" s="381"/>
      <c r="H13" s="29"/>
      <c r="I13" s="29"/>
      <c r="J13" s="29"/>
      <c r="K13" s="29"/>
      <c r="L13" s="29"/>
      <c r="M13" s="29"/>
      <c r="N13" s="29"/>
      <c r="O13" s="29"/>
      <c r="P13" s="29"/>
      <c r="Q13" s="54"/>
      <c r="R13" s="29"/>
      <c r="S13" s="52"/>
      <c r="T13" s="52"/>
      <c r="U13" s="52"/>
      <c r="V13" s="52"/>
      <c r="W13" s="52"/>
      <c r="X13" s="25"/>
    </row>
    <row r="14" spans="1:24" ht="24.6" customHeight="1" thickBot="1" x14ac:dyDescent="0.4">
      <c r="A14" s="25"/>
      <c r="B14" s="25"/>
      <c r="C14" s="25"/>
      <c r="D14" s="165"/>
      <c r="E14" s="165"/>
      <c r="F14" s="491" t="s">
        <v>270</v>
      </c>
      <c r="G14" s="29"/>
      <c r="H14" s="29"/>
      <c r="I14" s="29"/>
      <c r="J14" s="29"/>
      <c r="K14" s="29"/>
      <c r="L14" s="29"/>
      <c r="M14" s="29"/>
      <c r="N14" s="29"/>
      <c r="O14" s="29"/>
      <c r="P14" s="29"/>
      <c r="Q14" s="54"/>
      <c r="R14" s="29"/>
      <c r="S14" s="52"/>
      <c r="T14" s="52"/>
      <c r="U14" s="52"/>
      <c r="V14" s="52"/>
      <c r="W14" s="52"/>
      <c r="X14" s="25"/>
    </row>
    <row r="15" spans="1:24" ht="24.6" customHeight="1" x14ac:dyDescent="0.3">
      <c r="A15" s="25"/>
      <c r="B15" s="988" t="s">
        <v>271</v>
      </c>
      <c r="C15" s="273" t="s">
        <v>1046</v>
      </c>
      <c r="D15" s="484">
        <f>'5. Area Habitats'!P3+'5. Area Habitats'!P4+'5. Area Habitats'!P1</f>
        <v>1.4768822830022801</v>
      </c>
      <c r="E15" s="485"/>
      <c r="F15" s="492">
        <f>D11+F11</f>
        <v>1.426876</v>
      </c>
      <c r="G15" s="29"/>
      <c r="H15" s="29"/>
      <c r="I15" s="29"/>
      <c r="J15" s="29"/>
      <c r="K15" s="29"/>
      <c r="L15" s="29"/>
      <c r="M15" s="29"/>
      <c r="N15" s="29"/>
      <c r="O15" s="29"/>
      <c r="P15" s="29"/>
      <c r="Q15" s="54"/>
      <c r="R15" s="29"/>
      <c r="S15" s="52"/>
      <c r="T15" s="52"/>
      <c r="U15" s="52"/>
      <c r="V15" s="52"/>
      <c r="W15" s="52"/>
      <c r="X15" s="25"/>
    </row>
    <row r="16" spans="1:24" ht="24.6" customHeight="1" x14ac:dyDescent="0.3">
      <c r="A16" s="25"/>
      <c r="B16" s="989"/>
      <c r="C16" s="274" t="s">
        <v>268</v>
      </c>
      <c r="D16" s="486">
        <f>'6. Hedges &amp; Lines of Trees'!P3+'6. Hedges &amp; Lines of Trees'!P4+'6. Hedges &amp; Lines of Trees'!P1</f>
        <v>0.29912722164200001</v>
      </c>
      <c r="E16" s="487"/>
      <c r="F16" s="492">
        <f>D12+F12</f>
        <v>0.28600000000000003</v>
      </c>
      <c r="G16" s="29"/>
      <c r="H16" s="29"/>
      <c r="I16" s="29"/>
      <c r="J16" s="29"/>
      <c r="K16" s="29"/>
      <c r="L16" s="29"/>
      <c r="M16" s="29"/>
      <c r="N16" s="29"/>
      <c r="O16" s="29"/>
      <c r="P16" s="29"/>
      <c r="Q16" s="54"/>
      <c r="R16" s="29"/>
      <c r="S16" s="52"/>
      <c r="T16" s="52"/>
      <c r="U16" s="52"/>
      <c r="V16" s="52"/>
      <c r="W16" s="52"/>
      <c r="X16" s="25"/>
    </row>
    <row r="17" spans="1:24" ht="24.6" customHeight="1" thickBot="1" x14ac:dyDescent="0.35">
      <c r="A17" s="25"/>
      <c r="B17" s="990"/>
      <c r="C17" s="275" t="s">
        <v>269</v>
      </c>
      <c r="D17" s="488">
        <f>'7. Watercourses'!P3+'7. Watercourses'!P4+'7. Watercourses'!P1</f>
        <v>0</v>
      </c>
      <c r="E17" s="489"/>
      <c r="F17" s="492" t="e">
        <f>D13+F13</f>
        <v>#VALUE!</v>
      </c>
      <c r="G17" s="29"/>
      <c r="H17" s="29"/>
      <c r="I17" s="29"/>
      <c r="J17" s="29"/>
      <c r="K17" s="29"/>
      <c r="L17" s="29"/>
      <c r="M17" s="29"/>
      <c r="N17" s="29"/>
      <c r="O17" s="29"/>
      <c r="P17" s="29"/>
      <c r="Q17" s="54"/>
      <c r="R17" s="29"/>
      <c r="S17" s="52"/>
      <c r="T17" s="52"/>
      <c r="U17" s="52"/>
      <c r="V17" s="52"/>
      <c r="W17" s="52"/>
      <c r="X17" s="25"/>
    </row>
    <row r="18" spans="1:24" ht="24.6" customHeight="1" thickBot="1" x14ac:dyDescent="0.4">
      <c r="A18" s="25"/>
      <c r="B18" s="25"/>
      <c r="C18" s="25"/>
      <c r="D18" s="165"/>
      <c r="E18" s="165"/>
      <c r="F18" s="491"/>
      <c r="G18" s="29"/>
      <c r="H18" s="29"/>
      <c r="I18" s="29"/>
      <c r="J18" s="29"/>
      <c r="K18" s="29"/>
      <c r="L18" s="29"/>
      <c r="M18" s="29"/>
      <c r="N18" s="29"/>
      <c r="O18" s="29"/>
      <c r="P18" s="29"/>
      <c r="Q18" s="54"/>
      <c r="R18" s="29"/>
      <c r="S18" s="52"/>
      <c r="T18" s="52"/>
      <c r="U18" s="52"/>
      <c r="V18" s="52"/>
      <c r="W18" s="52"/>
      <c r="X18" s="25"/>
    </row>
    <row r="19" spans="1:24" ht="24.6" customHeight="1" x14ac:dyDescent="0.3">
      <c r="A19" s="25"/>
      <c r="B19" s="988" t="s">
        <v>272</v>
      </c>
      <c r="C19" s="529" t="s">
        <v>1046</v>
      </c>
      <c r="D19" s="534">
        <f>'5. Area Habitats'!P5</f>
        <v>0.17972228300227999</v>
      </c>
      <c r="E19" s="535" t="str" cm="1">
        <f t="array" ref="E19">_xlfn.IFS(D19&gt;=F11,"✓",D19&lt;0,"▲", D19&lt;F11,"⚠")</f>
        <v>✓</v>
      </c>
      <c r="F19" s="493">
        <f>F11/D11</f>
        <v>0.10000000000000002</v>
      </c>
      <c r="G19" s="29"/>
      <c r="H19" s="29"/>
      <c r="I19" s="29"/>
      <c r="J19" s="29"/>
      <c r="K19" s="29"/>
      <c r="L19" s="29"/>
      <c r="M19" s="29"/>
      <c r="N19" s="29"/>
      <c r="O19" s="29"/>
      <c r="P19" s="29"/>
      <c r="Q19" s="54"/>
      <c r="R19" s="29"/>
      <c r="S19" s="52"/>
      <c r="T19" s="52"/>
      <c r="U19" s="52"/>
      <c r="V19" s="52"/>
      <c r="W19" s="52"/>
      <c r="X19" s="25"/>
    </row>
    <row r="20" spans="1:24" ht="24.6" customHeight="1" x14ac:dyDescent="0.3">
      <c r="A20" s="25"/>
      <c r="B20" s="989"/>
      <c r="C20" s="530" t="s">
        <v>268</v>
      </c>
      <c r="D20" s="536">
        <f>'6. Hedges &amp; Lines of Trees'!P5</f>
        <v>3.9127221641999999E-2</v>
      </c>
      <c r="E20" s="537" t="str" cm="1">
        <f t="array" ref="E20">_xlfn.IFS(D20&gt;=F12,"✓",D20&lt;0,"▲", D20&lt;F12,"⚠")</f>
        <v>✓</v>
      </c>
      <c r="F20" s="493">
        <f t="shared" ref="F20:F21" si="0">F12/D12</f>
        <v>0.1</v>
      </c>
      <c r="G20" s="29"/>
      <c r="H20" s="29"/>
      <c r="I20" s="29"/>
      <c r="J20" s="29"/>
      <c r="K20" s="29"/>
      <c r="L20" s="29"/>
      <c r="M20" s="29"/>
      <c r="N20" s="29"/>
      <c r="O20" s="29"/>
      <c r="P20" s="29"/>
      <c r="Q20" s="54"/>
      <c r="R20" s="29"/>
      <c r="S20" s="52"/>
      <c r="T20" s="52"/>
      <c r="U20" s="52"/>
      <c r="V20" s="52"/>
      <c r="W20" s="52"/>
      <c r="X20" s="25"/>
    </row>
    <row r="21" spans="1:24" ht="24.6" customHeight="1" thickBot="1" x14ac:dyDescent="0.35">
      <c r="A21" s="25"/>
      <c r="B21" s="990"/>
      <c r="C21" s="531" t="s">
        <v>269</v>
      </c>
      <c r="D21" s="532">
        <f>'7. Watercourses'!P5</f>
        <v>0</v>
      </c>
      <c r="E21" s="533" t="e" cm="1">
        <f t="array" ref="E21">_xlfn.IFS(D21&gt;=F13,"✓",D21&lt;0,"▲", D21&lt;F13,"⚠")</f>
        <v>#VALUE!</v>
      </c>
      <c r="F21" s="493" t="e">
        <f t="shared" si="0"/>
        <v>#VALUE!</v>
      </c>
      <c r="G21" s="29"/>
      <c r="H21" s="29"/>
      <c r="I21" s="29"/>
      <c r="J21" s="29"/>
      <c r="K21" s="29"/>
      <c r="L21" s="29"/>
      <c r="M21" s="29"/>
      <c r="N21" s="29"/>
      <c r="O21" s="29"/>
      <c r="P21" s="29"/>
      <c r="Q21" s="54"/>
      <c r="R21" s="29"/>
      <c r="S21" s="52"/>
      <c r="T21" s="52"/>
      <c r="U21" s="52"/>
      <c r="V21" s="52"/>
      <c r="W21" s="52"/>
      <c r="X21" s="25"/>
    </row>
    <row r="22" spans="1:24" ht="24.6" customHeight="1" thickBot="1" x14ac:dyDescent="0.4">
      <c r="A22" s="25"/>
      <c r="B22" s="27"/>
      <c r="C22" s="146"/>
      <c r="D22" s="40"/>
      <c r="E22" s="40"/>
      <c r="F22" s="491"/>
      <c r="G22" s="29"/>
      <c r="H22" s="29"/>
      <c r="I22" s="29"/>
      <c r="J22" s="29"/>
      <c r="K22" s="29"/>
      <c r="L22" s="29"/>
      <c r="M22" s="29"/>
      <c r="N22" s="29"/>
      <c r="O22" s="29"/>
      <c r="P22" s="29"/>
      <c r="Q22" s="54"/>
      <c r="R22" s="29"/>
      <c r="S22" s="52"/>
      <c r="T22" s="52"/>
      <c r="U22" s="52"/>
      <c r="V22" s="52"/>
      <c r="W22" s="52"/>
      <c r="X22" s="25"/>
    </row>
    <row r="23" spans="1:24" ht="24.6" customHeight="1" x14ac:dyDescent="0.3">
      <c r="A23" s="25"/>
      <c r="B23" s="742" t="s">
        <v>273</v>
      </c>
      <c r="C23" s="529" t="s">
        <v>1046</v>
      </c>
      <c r="D23" s="538">
        <f>IF(D11="Zero Units Baseline","% target not appropriate",D19/D11)</f>
        <v>0.13855058975167286</v>
      </c>
      <c r="E23" s="539" t="str" cm="1">
        <f t="array" ref="E23">_xlfn.IFS(D23&gt;=F19,"✓",D23&lt;0,"▲", D23&lt;F19,"⚠")</f>
        <v>✓</v>
      </c>
      <c r="F23" s="491">
        <f>$D$23*100</f>
        <v>13.855058975167287</v>
      </c>
      <c r="G23" s="29"/>
      <c r="H23" s="29"/>
      <c r="I23" s="29"/>
      <c r="J23" s="29"/>
      <c r="K23" s="29"/>
      <c r="L23" s="29"/>
      <c r="M23" s="29"/>
      <c r="N23" s="29"/>
      <c r="O23" s="29"/>
      <c r="P23" s="29"/>
      <c r="Q23" s="54"/>
      <c r="R23" s="29"/>
      <c r="S23" s="52"/>
      <c r="T23" s="52"/>
      <c r="U23" s="52"/>
      <c r="V23" s="52"/>
      <c r="W23" s="52"/>
      <c r="X23" s="25"/>
    </row>
    <row r="24" spans="1:24" ht="24.6" customHeight="1" x14ac:dyDescent="0.3">
      <c r="A24" s="25"/>
      <c r="B24" s="986"/>
      <c r="C24" s="530" t="s">
        <v>268</v>
      </c>
      <c r="D24" s="540">
        <f>IF(D12="Zero Units Baseline","% target not appropriate",D20/D12)</f>
        <v>0.1504893140076923</v>
      </c>
      <c r="E24" s="541" t="str" cm="1">
        <f t="array" ref="E24">_xlfn.IFS(D24&gt;=F20,"✓",D24&lt;0,"▲", D24&lt;F20,"⚠")</f>
        <v>✓</v>
      </c>
      <c r="F24" s="491">
        <f>$D$24*100</f>
        <v>15.048931400769231</v>
      </c>
      <c r="G24" s="29"/>
      <c r="H24" s="29"/>
      <c r="I24" s="29"/>
      <c r="J24" s="29"/>
      <c r="K24" s="29"/>
      <c r="L24" s="29"/>
      <c r="M24" s="29"/>
      <c r="N24" s="29"/>
      <c r="O24" s="29"/>
      <c r="P24" s="29"/>
      <c r="Q24" s="54"/>
      <c r="R24" s="29"/>
      <c r="S24" s="52"/>
      <c r="T24" s="52"/>
      <c r="U24" s="52"/>
      <c r="V24" s="52"/>
      <c r="W24" s="52"/>
      <c r="X24" s="25"/>
    </row>
    <row r="25" spans="1:24" ht="24.6" customHeight="1" thickBot="1" x14ac:dyDescent="0.35">
      <c r="A25" s="25"/>
      <c r="B25" s="987"/>
      <c r="C25" s="531" t="s">
        <v>269</v>
      </c>
      <c r="D25" s="542" t="str">
        <f>IF(D13="Zero Units Baseline","% target not appropriate",D21/D13)</f>
        <v>% target not appropriate</v>
      </c>
      <c r="E25" s="543" t="e" cm="1">
        <f t="array" ref="E25">_xlfn.IFS(D25&gt;=F21,"✓",D25&lt;0,"▲", D25&lt;F21,"⚠")</f>
        <v>#VALUE!</v>
      </c>
      <c r="F25" s="491" t="e">
        <f>$D$25*100</f>
        <v>#VALUE!</v>
      </c>
      <c r="G25" s="29"/>
      <c r="H25" s="29"/>
      <c r="I25" s="29"/>
      <c r="J25" s="29"/>
      <c r="K25" s="29"/>
      <c r="L25" s="29"/>
      <c r="M25" s="29"/>
      <c r="N25" s="29"/>
      <c r="O25" s="29"/>
      <c r="P25" s="29"/>
      <c r="Q25" s="54"/>
      <c r="R25" s="29"/>
      <c r="S25" s="52"/>
      <c r="T25" s="52"/>
      <c r="U25" s="52"/>
      <c r="V25" s="52"/>
      <c r="W25" s="52"/>
      <c r="X25" s="25"/>
    </row>
    <row r="26" spans="1:24" ht="24.6" customHeight="1" thickBot="1" x14ac:dyDescent="0.4">
      <c r="A26" s="25"/>
      <c r="B26" s="25"/>
      <c r="C26" s="25"/>
      <c r="D26" s="165"/>
      <c r="E26" s="165"/>
      <c r="F26" s="491"/>
      <c r="G26" s="29"/>
      <c r="H26" s="29"/>
      <c r="I26" s="29"/>
      <c r="J26" s="29"/>
      <c r="K26" s="29"/>
      <c r="L26" s="29"/>
      <c r="M26" s="29"/>
      <c r="N26" s="29"/>
      <c r="O26" s="29"/>
      <c r="P26" s="29"/>
      <c r="Q26" s="54"/>
      <c r="R26" s="29"/>
      <c r="S26" s="52"/>
      <c r="T26" s="52"/>
      <c r="U26" s="52"/>
      <c r="V26" s="52"/>
      <c r="W26" s="52"/>
      <c r="X26" s="25"/>
    </row>
    <row r="27" spans="1:24" ht="24.6" customHeight="1" x14ac:dyDescent="0.3">
      <c r="A27" s="25"/>
      <c r="B27" s="995" t="s">
        <v>1047</v>
      </c>
      <c r="C27" s="996"/>
      <c r="D27" s="998">
        <f>IFERROR(IF(D11="Zero Units Baseline",IF('2. Site Details'!D17&lt;=D15,0,'2. Site Details'!D17-D15),(IF((D11*(1+('2. Site Details'!D13/100)))-D15&lt;0,0,F15-D15))),"")</f>
        <v>0</v>
      </c>
      <c r="E27" s="999"/>
      <c r="F27" s="491"/>
      <c r="G27" s="29"/>
      <c r="H27" s="29"/>
      <c r="I27" s="29"/>
      <c r="J27" s="29"/>
      <c r="K27" s="29"/>
      <c r="L27" s="29"/>
      <c r="M27" s="29"/>
      <c r="N27" s="29"/>
      <c r="O27" s="29"/>
      <c r="P27" s="29"/>
      <c r="Q27" s="54"/>
      <c r="R27" s="29"/>
      <c r="S27" s="52"/>
      <c r="T27" s="52"/>
      <c r="U27" s="52"/>
      <c r="V27" s="52"/>
      <c r="W27" s="52"/>
      <c r="X27" s="25"/>
    </row>
    <row r="28" spans="1:24" ht="24.6" customHeight="1" x14ac:dyDescent="0.3">
      <c r="A28" s="25"/>
      <c r="B28" s="993" t="s">
        <v>274</v>
      </c>
      <c r="C28" s="994"/>
      <c r="D28" s="1000">
        <f>IFERROR(IF(D12="Zero Units Baseline",IF('2. Site Details'!D18&lt;=D16,0,'2. Site Details'!D18-D16),(IF((D12*(1+('2. Site Details'!D14/100)))-D16&lt;0,0,F16-D16))),"")</f>
        <v>0</v>
      </c>
      <c r="E28" s="1001"/>
      <c r="F28" s="491"/>
      <c r="G28" s="159"/>
      <c r="H28" s="29"/>
      <c r="I28" s="29"/>
      <c r="J28" s="29"/>
      <c r="K28" s="29"/>
      <c r="L28" s="29"/>
      <c r="M28" s="29"/>
      <c r="N28" s="29"/>
      <c r="O28" s="29"/>
      <c r="P28" s="29"/>
      <c r="Q28" s="54"/>
      <c r="R28" s="29"/>
      <c r="S28" s="52"/>
      <c r="T28" s="52"/>
      <c r="U28" s="52"/>
      <c r="V28" s="52"/>
      <c r="W28" s="52"/>
      <c r="X28" s="25"/>
    </row>
    <row r="29" spans="1:24" ht="24.6" customHeight="1" thickBot="1" x14ac:dyDescent="0.35">
      <c r="A29" s="25"/>
      <c r="B29" s="991" t="s">
        <v>275</v>
      </c>
      <c r="C29" s="992"/>
      <c r="D29" s="1002">
        <f>IFERROR(IF(D13="Zero Units Baseline",IF('2. Site Details'!D19&lt;=D17,0,'2. Site Details'!D19-D17),(IF((D13*(1+('2. Site Details'!D15/100)))-D17&lt;0,0,F17-D17))),"")</f>
        <v>0</v>
      </c>
      <c r="E29" s="1003"/>
      <c r="F29" s="491"/>
      <c r="G29" s="29"/>
      <c r="H29" s="29"/>
      <c r="I29" s="29"/>
      <c r="J29" s="29"/>
      <c r="K29" s="29"/>
      <c r="L29" s="29"/>
      <c r="M29" s="29"/>
      <c r="N29" s="29"/>
      <c r="O29" s="29"/>
      <c r="P29" s="29"/>
      <c r="Q29" s="54"/>
      <c r="R29" s="29"/>
      <c r="S29" s="52"/>
      <c r="T29" s="52"/>
      <c r="U29" s="52"/>
      <c r="V29" s="52"/>
      <c r="W29" s="52"/>
      <c r="X29" s="25"/>
    </row>
    <row r="30" spans="1:24" ht="10.199999999999999" customHeight="1" x14ac:dyDescent="0.35">
      <c r="A30" s="25"/>
      <c r="B30" s="25"/>
      <c r="C30" s="25"/>
      <c r="D30" s="165"/>
      <c r="E30" s="165"/>
      <c r="F30" s="491"/>
      <c r="G30" s="29"/>
      <c r="H30" s="29"/>
      <c r="I30" s="29"/>
      <c r="J30" s="29"/>
      <c r="K30" s="29"/>
      <c r="L30" s="29"/>
      <c r="M30" s="29"/>
      <c r="N30" s="29"/>
      <c r="O30" s="29"/>
      <c r="P30" s="29"/>
      <c r="Q30" s="54"/>
      <c r="R30" s="29"/>
      <c r="S30" s="52"/>
      <c r="T30" s="52"/>
      <c r="U30" s="52"/>
      <c r="V30" s="52"/>
      <c r="W30" s="52"/>
      <c r="X30" s="25"/>
    </row>
    <row r="31" spans="1:24" ht="19.95" customHeight="1" x14ac:dyDescent="0.35">
      <c r="A31" s="25"/>
      <c r="B31" s="56"/>
      <c r="C31" s="25"/>
      <c r="D31" s="165"/>
      <c r="E31" s="165"/>
      <c r="F31" s="491"/>
      <c r="G31" s="29"/>
      <c r="H31" s="29"/>
      <c r="I31" s="29"/>
      <c r="J31" s="29"/>
      <c r="K31" s="29"/>
      <c r="L31" s="29"/>
      <c r="M31" s="29"/>
      <c r="N31" s="29"/>
      <c r="O31" s="29"/>
      <c r="P31" s="29"/>
      <c r="Q31" s="54"/>
      <c r="R31" s="29"/>
      <c r="S31" s="52"/>
      <c r="T31" s="52"/>
      <c r="U31" s="52"/>
      <c r="V31" s="52"/>
      <c r="W31" s="52"/>
      <c r="X31" s="25"/>
    </row>
    <row r="32" spans="1:24" ht="9" customHeight="1" x14ac:dyDescent="0.35">
      <c r="A32" s="25"/>
      <c r="B32" s="25"/>
      <c r="C32" s="25"/>
      <c r="D32" s="165"/>
      <c r="E32" s="165"/>
      <c r="F32" s="491"/>
      <c r="G32" s="25"/>
      <c r="H32" s="29"/>
      <c r="I32" s="29"/>
      <c r="J32" s="29"/>
      <c r="K32" s="29"/>
      <c r="L32" s="29"/>
      <c r="M32" s="29"/>
      <c r="N32" s="29"/>
      <c r="O32" s="29"/>
      <c r="P32" s="29"/>
      <c r="Q32" s="54"/>
      <c r="R32" s="29"/>
      <c r="S32" s="52"/>
      <c r="T32" s="52"/>
      <c r="U32" s="52"/>
      <c r="V32" s="52"/>
      <c r="W32" s="52"/>
      <c r="X32" s="25"/>
    </row>
    <row r="33" spans="1:24" ht="23.55" customHeight="1" x14ac:dyDescent="0.35">
      <c r="A33" s="25"/>
      <c r="B33" s="56" t="s">
        <v>276</v>
      </c>
      <c r="C33" s="25"/>
      <c r="D33" s="165"/>
      <c r="E33" s="165"/>
      <c r="F33" s="491"/>
      <c r="G33" s="29"/>
      <c r="H33" s="29"/>
      <c r="I33" s="29"/>
      <c r="J33" s="29"/>
      <c r="K33" s="29"/>
      <c r="L33" s="29"/>
      <c r="M33" s="29"/>
      <c r="N33" s="29"/>
      <c r="O33" s="29"/>
      <c r="P33" s="29"/>
      <c r="Q33" s="54"/>
      <c r="R33" s="29"/>
      <c r="S33" s="25"/>
      <c r="T33" s="25"/>
      <c r="U33" s="25"/>
      <c r="V33" s="25"/>
      <c r="W33" s="25"/>
      <c r="X33" s="25"/>
    </row>
    <row r="34" spans="1:24" s="55" customFormat="1" ht="23.55" customHeight="1" x14ac:dyDescent="0.35">
      <c r="A34" s="29"/>
      <c r="B34" s="56"/>
      <c r="C34" s="25"/>
      <c r="D34" s="165"/>
      <c r="E34" s="165"/>
      <c r="F34" s="491"/>
      <c r="G34" s="25"/>
      <c r="H34" s="25"/>
      <c r="I34" s="25"/>
      <c r="J34" s="25"/>
      <c r="K34" s="25"/>
      <c r="L34" s="25"/>
      <c r="M34" s="25"/>
      <c r="N34" s="25"/>
      <c r="O34" s="25"/>
      <c r="P34" s="29"/>
      <c r="Q34" s="54"/>
      <c r="R34" s="29"/>
      <c r="S34" s="29"/>
      <c r="T34" s="29"/>
      <c r="U34" s="29"/>
      <c r="V34" s="29"/>
      <c r="W34" s="29"/>
      <c r="X34" s="29"/>
    </row>
    <row r="35" spans="1:24" s="55" customFormat="1" ht="23.55" customHeight="1" thickBot="1" x14ac:dyDescent="0.35">
      <c r="A35" s="29"/>
      <c r="B35" s="25"/>
      <c r="C35" s="25" t="s">
        <v>277</v>
      </c>
      <c r="D35" s="25" t="s">
        <v>278</v>
      </c>
      <c r="E35" s="52"/>
      <c r="F35" s="491"/>
      <c r="G35" s="25"/>
      <c r="H35" s="25"/>
      <c r="I35" s="25"/>
      <c r="J35" s="25"/>
      <c r="K35" s="25"/>
      <c r="L35" s="25"/>
      <c r="M35" s="25"/>
      <c r="N35" s="25"/>
      <c r="O35" s="25"/>
      <c r="P35" s="29"/>
      <c r="Q35" s="54"/>
      <c r="R35" s="29"/>
      <c r="S35" s="29"/>
      <c r="T35" s="29"/>
      <c r="U35" s="29"/>
      <c r="V35" s="29"/>
      <c r="W35" s="29"/>
      <c r="X35" s="29"/>
    </row>
    <row r="36" spans="1:24" ht="23.55" customHeight="1" thickBot="1" x14ac:dyDescent="0.35">
      <c r="A36" s="25"/>
      <c r="B36" s="382" t="s">
        <v>267</v>
      </c>
      <c r="C36" s="51">
        <f>IF(D11="Zero Units Baseline",0,D11)</f>
        <v>1.2971600000000001</v>
      </c>
      <c r="D36" s="51">
        <f>D15</f>
        <v>1.4768822830022801</v>
      </c>
      <c r="E36" s="52"/>
      <c r="F36" s="491"/>
      <c r="G36" s="25"/>
      <c r="H36" s="25"/>
      <c r="I36" s="25"/>
      <c r="J36" s="25"/>
      <c r="K36" s="25"/>
      <c r="L36" s="25"/>
      <c r="M36" s="25"/>
      <c r="N36" s="25"/>
      <c r="O36" s="25"/>
      <c r="P36" s="25"/>
      <c r="Q36" s="54"/>
      <c r="R36" s="29"/>
      <c r="S36" s="29"/>
      <c r="T36" s="29"/>
      <c r="U36" s="29"/>
      <c r="V36" s="29"/>
      <c r="W36" s="29"/>
      <c r="X36" s="25"/>
    </row>
    <row r="37" spans="1:24" ht="23.55" customHeight="1" thickBot="1" x14ac:dyDescent="0.35">
      <c r="A37" s="25"/>
      <c r="B37" s="382" t="s">
        <v>268</v>
      </c>
      <c r="C37" s="51">
        <f t="shared" ref="C37:C38" si="1">IF(D12="Zero Units Baseline",0,D12)</f>
        <v>0.26</v>
      </c>
      <c r="D37" s="51">
        <f t="shared" ref="D37:D38" si="2">D16</f>
        <v>0.29912722164200001</v>
      </c>
      <c r="E37" s="52"/>
      <c r="F37" s="491"/>
      <c r="G37" s="25"/>
      <c r="H37" s="25"/>
      <c r="I37" s="25"/>
      <c r="J37" s="25"/>
      <c r="K37" s="25"/>
      <c r="L37" s="25"/>
      <c r="M37" s="25"/>
      <c r="N37" s="25"/>
      <c r="O37" s="25"/>
      <c r="P37" s="25"/>
      <c r="Q37" s="54"/>
      <c r="R37" s="29"/>
      <c r="S37" s="29"/>
      <c r="T37" s="29"/>
      <c r="U37" s="29"/>
      <c r="V37" s="29"/>
      <c r="W37" s="29"/>
      <c r="X37" s="25"/>
    </row>
    <row r="38" spans="1:24" ht="23.55" customHeight="1" x14ac:dyDescent="0.3">
      <c r="A38" s="25"/>
      <c r="B38" s="382" t="s">
        <v>279</v>
      </c>
      <c r="C38" s="51">
        <f t="shared" si="1"/>
        <v>0</v>
      </c>
      <c r="D38" s="51">
        <f t="shared" si="2"/>
        <v>0</v>
      </c>
      <c r="E38" s="52"/>
      <c r="F38" s="491"/>
      <c r="G38" s="25"/>
      <c r="H38" s="25"/>
      <c r="I38" s="25"/>
      <c r="J38" s="25"/>
      <c r="K38" s="25"/>
      <c r="L38" s="25"/>
      <c r="M38" s="25"/>
      <c r="N38" s="25"/>
      <c r="O38" s="25"/>
      <c r="P38" s="25"/>
      <c r="Q38" s="54"/>
      <c r="R38" s="29"/>
      <c r="S38" s="29"/>
      <c r="T38" s="29"/>
      <c r="U38" s="29"/>
      <c r="V38" s="29"/>
      <c r="W38" s="29"/>
      <c r="X38" s="25"/>
    </row>
    <row r="39" spans="1:24" ht="23.55" customHeight="1" x14ac:dyDescent="0.35">
      <c r="A39" s="25"/>
      <c r="B39" s="56"/>
      <c r="C39" s="25"/>
      <c r="D39" s="165"/>
      <c r="E39" s="165"/>
      <c r="F39" s="491"/>
      <c r="G39" s="25"/>
      <c r="H39" s="25"/>
      <c r="I39" s="25"/>
      <c r="J39" s="25"/>
      <c r="K39" s="25"/>
      <c r="L39" s="25"/>
      <c r="M39" s="25"/>
      <c r="N39" s="25"/>
      <c r="O39" s="25"/>
      <c r="P39" s="25"/>
      <c r="Q39" s="54"/>
      <c r="R39" s="29"/>
      <c r="S39" s="29"/>
      <c r="T39" s="29"/>
      <c r="U39" s="29"/>
      <c r="V39" s="29"/>
      <c r="W39" s="29"/>
      <c r="X39" s="25"/>
    </row>
    <row r="40" spans="1:24" ht="23.55" customHeight="1" x14ac:dyDescent="0.35">
      <c r="A40" s="25"/>
      <c r="B40" s="56"/>
      <c r="C40" s="25"/>
      <c r="D40" s="165"/>
      <c r="E40" s="165"/>
      <c r="F40" s="491"/>
      <c r="G40" s="25"/>
      <c r="H40" s="25"/>
      <c r="I40" s="25"/>
      <c r="J40" s="25"/>
      <c r="K40" s="25"/>
      <c r="L40" s="25"/>
      <c r="M40" s="25"/>
      <c r="N40" s="25"/>
      <c r="O40" s="25"/>
      <c r="P40" s="25"/>
      <c r="Q40" s="54"/>
      <c r="R40" s="29"/>
      <c r="S40" s="29"/>
      <c r="T40" s="29"/>
      <c r="U40" s="29"/>
      <c r="V40" s="29"/>
      <c r="W40" s="29"/>
      <c r="X40" s="25"/>
    </row>
    <row r="41" spans="1:24" ht="23.55" customHeight="1" x14ac:dyDescent="0.35">
      <c r="A41" s="25"/>
      <c r="B41" s="56"/>
      <c r="C41" s="25"/>
      <c r="D41" s="165"/>
      <c r="E41" s="165"/>
      <c r="F41" s="491"/>
      <c r="G41" s="25"/>
      <c r="H41" s="25"/>
      <c r="I41" s="25"/>
      <c r="J41" s="25"/>
      <c r="K41" s="25"/>
      <c r="L41" s="25"/>
      <c r="M41" s="25"/>
      <c r="N41" s="25"/>
      <c r="O41" s="25"/>
      <c r="P41" s="25"/>
      <c r="Q41" s="54"/>
      <c r="R41" s="29"/>
      <c r="S41" s="29"/>
      <c r="T41" s="29"/>
      <c r="U41" s="29"/>
      <c r="V41" s="29"/>
      <c r="W41" s="29"/>
      <c r="X41" s="25"/>
    </row>
    <row r="42" spans="1:24" ht="23.55" customHeight="1" x14ac:dyDescent="0.35">
      <c r="A42" s="25"/>
      <c r="B42" s="56"/>
      <c r="C42" s="25"/>
      <c r="D42" s="165"/>
      <c r="E42" s="165"/>
      <c r="F42" s="491"/>
      <c r="G42" s="27"/>
      <c r="H42" s="27"/>
      <c r="I42" s="27"/>
      <c r="J42" s="27"/>
      <c r="K42" s="27"/>
      <c r="L42" s="27"/>
      <c r="M42" s="28"/>
      <c r="N42" s="28"/>
      <c r="O42" s="25"/>
      <c r="P42" s="25"/>
      <c r="Q42" s="54"/>
      <c r="R42" s="29"/>
      <c r="S42" s="29"/>
      <c r="T42" s="29"/>
      <c r="U42" s="29"/>
      <c r="V42" s="29"/>
      <c r="W42" s="29"/>
      <c r="X42" s="25"/>
    </row>
    <row r="43" spans="1:24" ht="23.55" customHeight="1" x14ac:dyDescent="0.35">
      <c r="A43" s="25"/>
      <c r="B43" s="56"/>
      <c r="C43" s="25"/>
      <c r="D43" s="165"/>
      <c r="E43" s="165"/>
      <c r="F43" s="491"/>
      <c r="G43" s="25"/>
      <c r="H43" s="25"/>
      <c r="I43" s="25"/>
      <c r="J43" s="25"/>
      <c r="K43" s="25"/>
      <c r="L43" s="25"/>
      <c r="M43" s="25"/>
      <c r="N43" s="25"/>
      <c r="O43" s="25"/>
      <c r="P43" s="25"/>
      <c r="Q43" s="25"/>
      <c r="R43" s="25"/>
      <c r="S43" s="25"/>
      <c r="T43" s="25"/>
      <c r="U43" s="25"/>
      <c r="V43" s="25"/>
      <c r="W43" s="25"/>
      <c r="X43" s="25"/>
    </row>
    <row r="44" spans="1:24" ht="36.75" customHeight="1" x14ac:dyDescent="0.35">
      <c r="A44" s="25"/>
      <c r="B44" s="56"/>
      <c r="C44" s="25"/>
      <c r="D44" s="165"/>
      <c r="E44" s="165"/>
      <c r="F44" s="491"/>
      <c r="G44" s="25"/>
      <c r="H44" s="25"/>
      <c r="I44" s="25"/>
      <c r="J44" s="25"/>
      <c r="K44" s="25"/>
      <c r="L44" s="25"/>
      <c r="M44" s="25"/>
      <c r="N44" s="25"/>
      <c r="O44" s="25"/>
      <c r="P44" s="25"/>
      <c r="Q44" s="25"/>
      <c r="R44" s="25"/>
      <c r="S44" s="25"/>
      <c r="T44" s="25"/>
      <c r="U44" s="25"/>
      <c r="V44" s="25"/>
      <c r="W44" s="25"/>
      <c r="X44" s="25"/>
    </row>
    <row r="45" spans="1:24" ht="21" x14ac:dyDescent="0.35">
      <c r="A45" s="25"/>
      <c r="B45" s="56"/>
      <c r="C45" s="25"/>
      <c r="D45" s="165"/>
      <c r="E45" s="165"/>
      <c r="F45" s="491"/>
      <c r="G45" s="25"/>
      <c r="H45" s="25"/>
      <c r="I45" s="25"/>
      <c r="J45" s="25"/>
      <c r="K45" s="25"/>
      <c r="L45" s="25"/>
      <c r="M45" s="25"/>
      <c r="N45" s="25"/>
      <c r="O45" s="25"/>
      <c r="P45" s="25"/>
      <c r="Q45" s="25"/>
      <c r="R45" s="25"/>
      <c r="S45" s="25"/>
      <c r="T45" s="25"/>
      <c r="U45" s="25"/>
      <c r="V45" s="25"/>
      <c r="W45" s="25"/>
      <c r="X45" s="25"/>
    </row>
    <row r="46" spans="1:24" s="55" customFormat="1" ht="21" x14ac:dyDescent="0.35">
      <c r="A46" s="29"/>
      <c r="B46" s="56"/>
      <c r="C46" s="25"/>
      <c r="D46" s="165"/>
      <c r="E46" s="165"/>
      <c r="F46" s="491"/>
      <c r="G46" s="56"/>
      <c r="H46" s="29"/>
      <c r="I46" s="29"/>
      <c r="J46" s="29"/>
      <c r="K46" s="29"/>
      <c r="L46" s="29"/>
      <c r="M46" s="29"/>
      <c r="N46" s="29"/>
      <c r="O46" s="29"/>
      <c r="P46" s="29"/>
      <c r="Q46" s="29"/>
      <c r="R46" s="29"/>
      <c r="S46" s="29"/>
      <c r="T46" s="29"/>
      <c r="U46" s="29"/>
      <c r="V46" s="29"/>
      <c r="W46" s="29"/>
      <c r="X46" s="29"/>
    </row>
    <row r="47" spans="1:24" s="55" customFormat="1" ht="21" x14ac:dyDescent="0.35">
      <c r="A47" s="29"/>
      <c r="B47" s="56"/>
      <c r="C47" s="25"/>
      <c r="D47" s="165"/>
      <c r="E47" s="165"/>
      <c r="F47" s="491"/>
      <c r="G47" s="56"/>
      <c r="H47" s="29"/>
      <c r="I47" s="29"/>
      <c r="J47" s="29"/>
      <c r="K47" s="29"/>
      <c r="L47" s="29"/>
      <c r="M47" s="29"/>
      <c r="N47" s="29"/>
      <c r="O47" s="29"/>
      <c r="P47" s="29"/>
      <c r="Q47" s="29"/>
      <c r="R47" s="29"/>
      <c r="S47" s="29"/>
      <c r="T47" s="29"/>
      <c r="U47" s="29"/>
      <c r="V47" s="29"/>
      <c r="W47" s="29"/>
      <c r="X47" s="29"/>
    </row>
    <row r="48" spans="1:24" s="55" customFormat="1" ht="21" x14ac:dyDescent="0.35">
      <c r="A48" s="29"/>
      <c r="B48" s="56"/>
      <c r="C48" s="25"/>
      <c r="D48" s="165"/>
      <c r="E48" s="165"/>
      <c r="F48" s="491"/>
      <c r="G48" s="56"/>
      <c r="H48" s="29"/>
      <c r="I48" s="29"/>
      <c r="J48" s="29"/>
      <c r="K48" s="29"/>
      <c r="L48" s="29"/>
      <c r="M48" s="29"/>
      <c r="N48" s="29"/>
      <c r="O48" s="29"/>
      <c r="P48" s="29"/>
      <c r="Q48" s="29"/>
      <c r="R48" s="29"/>
      <c r="S48" s="29"/>
      <c r="T48" s="29"/>
      <c r="U48" s="29"/>
      <c r="V48" s="29"/>
      <c r="W48" s="29"/>
      <c r="X48" s="29"/>
    </row>
    <row r="49" spans="1:24" ht="23.55" customHeight="1" x14ac:dyDescent="0.35">
      <c r="A49" s="25"/>
      <c r="B49" s="56"/>
      <c r="C49" s="25"/>
      <c r="D49" s="165"/>
      <c r="E49" s="165"/>
      <c r="F49" s="491"/>
      <c r="G49" s="56"/>
      <c r="H49" s="29"/>
      <c r="I49" s="29"/>
      <c r="J49" s="29"/>
      <c r="K49" s="29"/>
      <c r="L49" s="29"/>
      <c r="M49" s="25"/>
      <c r="N49" s="25"/>
      <c r="O49" s="25"/>
      <c r="P49" s="25"/>
      <c r="Q49" s="133"/>
      <c r="R49" s="133"/>
      <c r="S49" s="133"/>
      <c r="T49" s="133"/>
      <c r="U49" s="133"/>
      <c r="V49" s="133"/>
      <c r="W49" s="133"/>
      <c r="X49" s="133"/>
    </row>
    <row r="50" spans="1:24" ht="18" customHeight="1" x14ac:dyDescent="0.3">
      <c r="A50" s="25"/>
      <c r="B50" s="25"/>
      <c r="C50" s="29"/>
      <c r="D50" s="29"/>
      <c r="E50" s="29"/>
      <c r="F50" s="491"/>
      <c r="G50" s="56"/>
      <c r="H50" s="29"/>
      <c r="I50" s="29"/>
      <c r="J50" s="29"/>
      <c r="K50" s="29"/>
      <c r="L50" s="29"/>
      <c r="M50" s="25"/>
      <c r="N50" s="25"/>
      <c r="O50" s="25"/>
      <c r="P50" s="25"/>
      <c r="Q50" s="133"/>
      <c r="R50" s="133"/>
      <c r="S50" s="133"/>
      <c r="T50" s="133"/>
      <c r="U50" s="133"/>
      <c r="V50" s="133"/>
      <c r="W50" s="133"/>
      <c r="X50" s="133"/>
    </row>
    <row r="51" spans="1:24" ht="18.600000000000001" customHeight="1" x14ac:dyDescent="0.3">
      <c r="A51" s="25"/>
      <c r="B51" s="25"/>
      <c r="C51" s="29"/>
      <c r="D51" s="29"/>
      <c r="E51" s="29"/>
      <c r="F51" s="491"/>
      <c r="G51" s="56"/>
      <c r="H51" s="29"/>
      <c r="I51" s="29"/>
      <c r="J51" s="29"/>
      <c r="K51" s="29"/>
      <c r="L51" s="29"/>
      <c r="M51" s="25"/>
      <c r="N51" s="25"/>
      <c r="O51" s="25"/>
      <c r="P51" s="25"/>
      <c r="Q51" s="25"/>
      <c r="R51" s="25"/>
      <c r="S51" s="25"/>
      <c r="T51" s="25"/>
      <c r="U51" s="25"/>
      <c r="V51" s="25"/>
      <c r="W51" s="25"/>
      <c r="X51" s="25"/>
    </row>
    <row r="52" spans="1:24" ht="18.600000000000001" hidden="1" customHeight="1" x14ac:dyDescent="0.3">
      <c r="A52" s="25"/>
      <c r="B52" s="25"/>
      <c r="C52" s="29"/>
      <c r="D52" s="29"/>
      <c r="E52" s="29"/>
      <c r="F52" s="494"/>
      <c r="G52" s="56"/>
      <c r="H52" s="29"/>
      <c r="I52" s="29"/>
      <c r="J52" s="29"/>
      <c r="K52" s="29"/>
      <c r="L52" s="29"/>
      <c r="M52" s="25"/>
      <c r="N52" s="25"/>
      <c r="O52" s="25"/>
      <c r="P52" s="25"/>
      <c r="Q52" s="26"/>
      <c r="R52" s="25"/>
      <c r="S52" s="25"/>
      <c r="T52" s="25"/>
      <c r="U52" s="25"/>
      <c r="V52" s="25"/>
      <c r="W52" s="25"/>
      <c r="X52" s="25"/>
    </row>
    <row r="53" spans="1:24" ht="18.600000000000001" hidden="1" customHeight="1" x14ac:dyDescent="0.3">
      <c r="A53" s="25"/>
      <c r="B53" s="25"/>
      <c r="C53" s="29"/>
      <c r="D53" s="29"/>
      <c r="E53" s="29"/>
      <c r="F53" s="494"/>
      <c r="G53" s="56"/>
      <c r="H53" s="29"/>
      <c r="I53" s="29"/>
      <c r="J53" s="29"/>
      <c r="K53" s="29"/>
      <c r="L53" s="29"/>
      <c r="M53" s="25"/>
      <c r="N53" s="25"/>
      <c r="O53" s="25"/>
      <c r="P53" s="25"/>
      <c r="Q53" s="25"/>
      <c r="R53" s="25"/>
      <c r="S53" s="25"/>
      <c r="T53" s="25"/>
      <c r="U53" s="25"/>
      <c r="V53" s="25"/>
      <c r="W53" s="25"/>
      <c r="X53" s="25"/>
    </row>
    <row r="54" spans="1:24" ht="18" hidden="1" customHeight="1" x14ac:dyDescent="0.3">
      <c r="A54" s="25"/>
      <c r="B54" s="25"/>
      <c r="C54" s="29"/>
      <c r="D54" s="29"/>
      <c r="E54" s="29"/>
      <c r="F54" s="494"/>
      <c r="G54" s="56"/>
      <c r="H54" s="29"/>
      <c r="I54" s="29"/>
      <c r="J54" s="29"/>
      <c r="K54" s="29"/>
      <c r="L54" s="29"/>
      <c r="M54" s="25"/>
      <c r="N54" s="25"/>
      <c r="O54" s="25"/>
      <c r="P54" s="25"/>
      <c r="Q54" s="25"/>
      <c r="R54" s="25"/>
      <c r="S54" s="25"/>
      <c r="T54" s="25"/>
      <c r="U54" s="25"/>
      <c r="V54" s="25"/>
      <c r="W54" s="25"/>
      <c r="X54" s="25"/>
    </row>
    <row r="55" spans="1:24" ht="18.600000000000001" hidden="1" customHeight="1" x14ac:dyDescent="0.3">
      <c r="A55" s="25"/>
      <c r="B55" s="25"/>
      <c r="C55" s="29"/>
      <c r="D55" s="29"/>
      <c r="E55" s="29"/>
      <c r="F55" s="494"/>
      <c r="G55" s="56"/>
      <c r="H55" s="29"/>
      <c r="I55" s="29"/>
      <c r="J55" s="29"/>
      <c r="K55" s="29"/>
      <c r="L55" s="29"/>
      <c r="M55" s="25"/>
      <c r="N55" s="25"/>
      <c r="O55" s="25"/>
      <c r="P55" s="25"/>
      <c r="Q55" s="25"/>
      <c r="R55" s="25"/>
      <c r="S55" s="25"/>
      <c r="T55" s="25"/>
      <c r="U55" s="25"/>
      <c r="V55" s="25"/>
      <c r="W55" s="25"/>
      <c r="X55" s="25"/>
    </row>
    <row r="56" spans="1:24" ht="18.600000000000001" hidden="1" customHeight="1" x14ac:dyDescent="0.3">
      <c r="A56" s="25"/>
      <c r="B56" s="25"/>
      <c r="C56" s="29"/>
      <c r="D56" s="29"/>
      <c r="E56" s="29"/>
      <c r="F56" s="494"/>
      <c r="G56" s="56"/>
      <c r="H56" s="29"/>
      <c r="I56" s="29"/>
      <c r="J56" s="29"/>
      <c r="K56" s="29"/>
      <c r="L56" s="29"/>
      <c r="M56" s="25"/>
      <c r="N56" s="25"/>
      <c r="O56" s="25"/>
      <c r="P56" s="25"/>
      <c r="Q56" s="25"/>
      <c r="R56" s="25"/>
      <c r="S56" s="25"/>
      <c r="T56" s="25"/>
      <c r="U56" s="25"/>
      <c r="V56" s="25"/>
      <c r="W56" s="25"/>
      <c r="X56" s="25"/>
    </row>
    <row r="57" spans="1:24" ht="18" hidden="1" customHeight="1" x14ac:dyDescent="0.3">
      <c r="A57" s="25"/>
      <c r="B57" s="25"/>
      <c r="C57" s="29"/>
      <c r="D57" s="29"/>
      <c r="E57" s="29"/>
      <c r="F57" s="494"/>
      <c r="G57" s="56"/>
      <c r="H57" s="29"/>
      <c r="I57" s="29"/>
      <c r="J57" s="29"/>
      <c r="K57" s="29"/>
      <c r="L57" s="29"/>
      <c r="M57" s="25"/>
      <c r="N57" s="25"/>
      <c r="O57" s="25"/>
      <c r="P57" s="25"/>
      <c r="Q57" s="25"/>
      <c r="R57" s="25"/>
      <c r="S57" s="25"/>
      <c r="T57" s="25"/>
      <c r="U57" s="25"/>
      <c r="V57" s="25"/>
      <c r="W57" s="25"/>
      <c r="X57" s="25"/>
    </row>
    <row r="58" spans="1:24" ht="18.600000000000001" hidden="1" customHeight="1" x14ac:dyDescent="0.3">
      <c r="A58" s="25"/>
      <c r="B58" s="25"/>
      <c r="C58" s="29"/>
      <c r="D58" s="29"/>
      <c r="E58" s="29"/>
      <c r="F58" s="494"/>
      <c r="G58" s="56"/>
      <c r="H58" s="29"/>
      <c r="I58" s="29"/>
      <c r="J58" s="29"/>
      <c r="K58" s="29"/>
      <c r="L58" s="29"/>
      <c r="M58" s="25"/>
      <c r="N58" s="25"/>
      <c r="O58" s="25"/>
      <c r="P58" s="25"/>
      <c r="Q58" s="25"/>
      <c r="R58" s="25"/>
      <c r="S58" s="25"/>
      <c r="T58" s="25"/>
      <c r="U58" s="25"/>
      <c r="V58" s="25"/>
      <c r="W58" s="25"/>
      <c r="X58" s="25"/>
    </row>
    <row r="59" spans="1:24" ht="18.600000000000001" hidden="1" customHeight="1" x14ac:dyDescent="0.3">
      <c r="A59" s="25"/>
      <c r="B59" s="25"/>
      <c r="C59" s="29"/>
      <c r="D59" s="29"/>
      <c r="E59" s="29"/>
      <c r="F59" s="494"/>
      <c r="G59" s="56"/>
      <c r="H59" s="29"/>
      <c r="I59" s="29"/>
      <c r="J59" s="29"/>
      <c r="K59" s="29"/>
      <c r="L59" s="29"/>
      <c r="M59" s="25"/>
      <c r="N59" s="25"/>
      <c r="O59" s="25"/>
      <c r="P59" s="25"/>
      <c r="Q59" s="25"/>
      <c r="R59" s="25"/>
      <c r="S59" s="25"/>
      <c r="T59" s="25"/>
      <c r="U59" s="25"/>
      <c r="V59" s="25"/>
      <c r="W59" s="25"/>
      <c r="X59" s="25"/>
    </row>
    <row r="60" spans="1:24" ht="18.600000000000001" hidden="1" customHeight="1" x14ac:dyDescent="0.3">
      <c r="A60" s="25"/>
      <c r="B60" s="25"/>
      <c r="C60" s="29"/>
      <c r="D60" s="29"/>
      <c r="E60" s="29"/>
      <c r="F60" s="494"/>
      <c r="G60" s="56"/>
      <c r="H60" s="29"/>
      <c r="I60" s="29"/>
      <c r="J60" s="29"/>
      <c r="K60" s="29"/>
      <c r="L60" s="29"/>
      <c r="M60" s="25"/>
      <c r="N60" s="25"/>
      <c r="O60" s="25"/>
      <c r="P60" s="25"/>
      <c r="Q60" s="25"/>
      <c r="R60" s="25"/>
      <c r="S60" s="25"/>
      <c r="T60" s="25"/>
      <c r="U60" s="25"/>
      <c r="V60" s="25"/>
      <c r="W60" s="25"/>
      <c r="X60" s="25"/>
    </row>
    <row r="61" spans="1:24" ht="18.600000000000001" hidden="1" customHeight="1" x14ac:dyDescent="0.3">
      <c r="A61" s="25"/>
      <c r="B61" s="25"/>
      <c r="C61" s="29"/>
      <c r="D61" s="29"/>
      <c r="E61" s="29"/>
      <c r="F61" s="494"/>
      <c r="G61" s="56"/>
      <c r="H61" s="29"/>
      <c r="I61" s="29"/>
      <c r="J61" s="29"/>
      <c r="K61" s="29"/>
      <c r="L61" s="29"/>
      <c r="M61" s="25"/>
      <c r="N61" s="25"/>
      <c r="O61" s="25"/>
      <c r="P61" s="25"/>
      <c r="Q61" s="25"/>
      <c r="R61" s="25"/>
      <c r="S61" s="25"/>
      <c r="T61" s="25"/>
      <c r="U61" s="25"/>
      <c r="V61" s="25"/>
      <c r="W61" s="25"/>
      <c r="X61" s="25"/>
    </row>
    <row r="62" spans="1:24" ht="15.6" hidden="1" customHeight="1" x14ac:dyDescent="0.3">
      <c r="A62" s="25"/>
      <c r="B62" s="25"/>
      <c r="C62" s="29"/>
      <c r="D62" s="29"/>
      <c r="E62" s="29"/>
      <c r="F62" s="494"/>
      <c r="G62" s="56"/>
      <c r="H62" s="29"/>
      <c r="I62" s="29"/>
      <c r="J62" s="29"/>
      <c r="K62" s="29"/>
      <c r="L62" s="29"/>
      <c r="M62" s="25"/>
      <c r="N62" s="25"/>
      <c r="O62" s="25"/>
      <c r="P62" s="25"/>
      <c r="Q62" s="25"/>
      <c r="R62" s="25"/>
      <c r="S62" s="25"/>
      <c r="T62" s="25"/>
      <c r="U62" s="25"/>
      <c r="V62" s="25"/>
      <c r="W62" s="25"/>
      <c r="X62" s="25"/>
    </row>
    <row r="63" spans="1:24" ht="18" hidden="1" customHeight="1" x14ac:dyDescent="0.3">
      <c r="A63" s="25"/>
      <c r="B63" s="25"/>
      <c r="C63" s="29"/>
      <c r="D63" s="29"/>
      <c r="E63" s="29"/>
      <c r="F63" s="494"/>
      <c r="G63" s="56"/>
      <c r="H63" s="29"/>
      <c r="I63" s="29"/>
      <c r="J63" s="29"/>
      <c r="K63" s="29"/>
      <c r="L63" s="29"/>
      <c r="M63" s="25"/>
      <c r="N63" s="25"/>
      <c r="O63" s="25"/>
      <c r="P63" s="25"/>
      <c r="Q63" s="25"/>
      <c r="R63" s="25"/>
      <c r="S63" s="25"/>
      <c r="T63" s="25"/>
      <c r="U63" s="25"/>
      <c r="V63" s="25"/>
      <c r="W63" s="25"/>
      <c r="X63" s="25"/>
    </row>
    <row r="64" spans="1:24" ht="14.55" hidden="1" customHeight="1" x14ac:dyDescent="0.3">
      <c r="A64" s="25"/>
      <c r="B64" s="25"/>
      <c r="C64" s="29"/>
      <c r="D64" s="29"/>
      <c r="E64" s="29"/>
      <c r="F64" s="490"/>
      <c r="G64" s="128"/>
      <c r="H64" s="128"/>
      <c r="I64" s="128"/>
      <c r="J64" s="128"/>
      <c r="K64" s="25"/>
      <c r="L64" s="25"/>
      <c r="M64" s="25"/>
      <c r="N64" s="25"/>
      <c r="O64" s="25"/>
      <c r="P64" s="25"/>
      <c r="Q64" s="25"/>
      <c r="R64" s="25"/>
      <c r="S64" s="25"/>
      <c r="T64" s="25"/>
      <c r="U64" s="25"/>
      <c r="V64" s="25"/>
      <c r="W64" s="25"/>
      <c r="X64" s="25"/>
    </row>
    <row r="65" spans="1:24" ht="14.55" hidden="1" customHeight="1" x14ac:dyDescent="0.3">
      <c r="A65" s="25"/>
      <c r="B65" s="983" t="s">
        <v>280</v>
      </c>
      <c r="C65" s="158">
        <v>26000</v>
      </c>
      <c r="D65" s="29"/>
      <c r="E65" s="29"/>
      <c r="F65" s="490"/>
      <c r="G65" s="128"/>
      <c r="H65" s="128"/>
      <c r="I65" s="128"/>
      <c r="J65" s="128"/>
      <c r="K65" s="25"/>
      <c r="L65" s="25"/>
      <c r="M65" s="25"/>
      <c r="N65" s="25"/>
      <c r="O65" s="25"/>
      <c r="P65" s="25"/>
      <c r="Q65" s="25"/>
      <c r="R65" s="25"/>
      <c r="S65" s="25"/>
      <c r="T65" s="25"/>
      <c r="U65" s="25"/>
      <c r="V65" s="25"/>
      <c r="W65" s="25"/>
      <c r="X65" s="25"/>
    </row>
    <row r="66" spans="1:24" ht="14.55" hidden="1" customHeight="1" x14ac:dyDescent="0.3">
      <c r="A66" s="25"/>
      <c r="B66" s="983"/>
      <c r="C66" s="157"/>
      <c r="D66" s="25"/>
      <c r="E66" s="25"/>
      <c r="F66" s="490"/>
      <c r="G66" s="128"/>
      <c r="H66" s="128"/>
      <c r="I66" s="128"/>
      <c r="J66" s="128"/>
      <c r="K66" s="25"/>
      <c r="L66" s="25"/>
      <c r="M66" s="25"/>
      <c r="N66" s="25"/>
      <c r="O66" s="25"/>
      <c r="P66" s="25"/>
      <c r="Q66" s="25"/>
      <c r="R66" s="25"/>
      <c r="S66" s="25"/>
      <c r="T66" s="25"/>
      <c r="U66" s="25"/>
      <c r="V66" s="25"/>
      <c r="W66" s="25"/>
      <c r="X66" s="25"/>
    </row>
    <row r="67" spans="1:24" ht="14.55" hidden="1" customHeight="1" x14ac:dyDescent="0.3">
      <c r="A67" s="25"/>
      <c r="B67" s="984"/>
      <c r="C67" s="25"/>
      <c r="D67" s="25"/>
      <c r="E67" s="25"/>
      <c r="F67" s="490"/>
      <c r="G67" s="128"/>
      <c r="H67" s="128"/>
      <c r="I67" s="128"/>
      <c r="J67" s="128"/>
      <c r="K67" s="25"/>
      <c r="L67" s="25"/>
      <c r="M67" s="25"/>
      <c r="N67" s="25"/>
      <c r="O67" s="25"/>
      <c r="P67" s="25"/>
      <c r="Q67" s="25"/>
      <c r="R67" s="25"/>
      <c r="S67" s="25"/>
      <c r="T67" s="25"/>
      <c r="U67" s="25"/>
      <c r="V67" s="25"/>
      <c r="W67" s="25"/>
      <c r="X67" s="25"/>
    </row>
    <row r="68" spans="1:24" ht="14.55" hidden="1" customHeight="1" x14ac:dyDescent="0.3">
      <c r="A68" s="25"/>
      <c r="B68" s="984"/>
      <c r="C68" s="25"/>
      <c r="D68" s="25"/>
      <c r="E68" s="25"/>
      <c r="F68" s="490"/>
      <c r="G68" s="128"/>
      <c r="H68" s="128"/>
      <c r="I68" s="128"/>
      <c r="J68" s="128"/>
      <c r="K68" s="25"/>
      <c r="L68" s="25"/>
      <c r="M68" s="25"/>
      <c r="N68" s="25"/>
      <c r="O68" s="25"/>
      <c r="P68" s="25"/>
      <c r="Q68" s="25"/>
      <c r="R68" s="25"/>
      <c r="S68" s="25"/>
      <c r="T68" s="25"/>
      <c r="U68" s="25"/>
      <c r="V68" s="25"/>
      <c r="W68" s="25"/>
      <c r="X68" s="25"/>
    </row>
    <row r="69" spans="1:24" ht="14.55" hidden="1" customHeight="1" x14ac:dyDescent="0.3">
      <c r="A69" s="25"/>
      <c r="B69" s="25"/>
      <c r="C69" s="25"/>
      <c r="D69" s="25"/>
      <c r="E69" s="25"/>
      <c r="F69" s="490"/>
      <c r="G69" s="128"/>
      <c r="H69" s="128"/>
      <c r="I69" s="128"/>
      <c r="J69" s="128"/>
      <c r="K69" s="25"/>
      <c r="L69" s="25"/>
      <c r="M69" s="25"/>
      <c r="N69" s="25"/>
      <c r="O69" s="25"/>
      <c r="P69" s="25"/>
      <c r="Q69" s="25"/>
      <c r="R69" s="25"/>
      <c r="S69" s="25"/>
      <c r="T69" s="25"/>
      <c r="U69" s="25"/>
      <c r="V69" s="25"/>
      <c r="W69" s="25"/>
      <c r="X69" s="25"/>
    </row>
    <row r="70" spans="1:24" ht="14.55" hidden="1" customHeight="1" x14ac:dyDescent="0.3">
      <c r="A70" s="25"/>
      <c r="B70" s="25"/>
      <c r="C70" s="25"/>
      <c r="D70" s="25"/>
      <c r="E70" s="25"/>
      <c r="F70" s="490"/>
      <c r="G70" s="128"/>
      <c r="H70" s="128"/>
      <c r="I70" s="128"/>
      <c r="J70" s="128"/>
      <c r="K70" s="25"/>
      <c r="L70" s="25"/>
      <c r="M70" s="25"/>
      <c r="N70" s="25"/>
      <c r="O70" s="25"/>
      <c r="P70" s="25"/>
      <c r="Q70" s="25"/>
      <c r="R70" s="25"/>
      <c r="S70" s="25"/>
      <c r="T70" s="25"/>
      <c r="U70" s="25"/>
      <c r="V70" s="25"/>
      <c r="W70" s="25"/>
      <c r="X70" s="25"/>
    </row>
    <row r="71" spans="1:24" ht="14.55" hidden="1" customHeight="1" x14ac:dyDescent="0.3"/>
    <row r="72" spans="1:24" ht="14.55" hidden="1" customHeight="1" x14ac:dyDescent="0.3"/>
    <row r="73" spans="1:24" ht="14.55" hidden="1" customHeight="1" x14ac:dyDescent="0.3"/>
    <row r="74" spans="1:24" ht="14.55" hidden="1" customHeight="1" x14ac:dyDescent="0.3"/>
  </sheetData>
  <sheetProtection algorithmName="SHA-512" hashValue="q6Tbe3lPiW/WQO25miBIOAXZ3i9DnAA34eB3h4eD5Z3c+gHNZMHUQAGPxhwlQyFgQTjs+erlLibHTDWKYHTUVA==" saltValue="wgy79hi+n0pWVlwUW+NpGA==" spinCount="100000" sheet="1" objects="1" scenarios="1"/>
  <mergeCells count="24">
    <mergeCell ref="D2:E2"/>
    <mergeCell ref="D3:E3"/>
    <mergeCell ref="B15:B17"/>
    <mergeCell ref="B7:C7"/>
    <mergeCell ref="D7:E7"/>
    <mergeCell ref="D10:E10"/>
    <mergeCell ref="D5:E5"/>
    <mergeCell ref="D9:E9"/>
    <mergeCell ref="B65:B66"/>
    <mergeCell ref="B67:B68"/>
    <mergeCell ref="H3:O3"/>
    <mergeCell ref="B3:C3"/>
    <mergeCell ref="B2:C2"/>
    <mergeCell ref="B23:B25"/>
    <mergeCell ref="B19:B21"/>
    <mergeCell ref="B29:C29"/>
    <mergeCell ref="B28:C28"/>
    <mergeCell ref="B27:C27"/>
    <mergeCell ref="B9:C9"/>
    <mergeCell ref="B5:C5"/>
    <mergeCell ref="D27:E27"/>
    <mergeCell ref="D28:E28"/>
    <mergeCell ref="D29:E29"/>
    <mergeCell ref="B11:B13"/>
  </mergeCells>
  <conditionalFormatting sqref="D5">
    <cfRule type="cellIs" dxfId="107" priority="62" operator="equal">
      <formula>"BNG Targets Not Met ▲"</formula>
    </cfRule>
    <cfRule type="cellIs" dxfId="106" priority="63" operator="equal">
      <formula>"BNG Targets Met ✓"</formula>
    </cfRule>
  </conditionalFormatting>
  <conditionalFormatting sqref="D23:D25">
    <cfRule type="cellIs" dxfId="105" priority="45" operator="equal">
      <formula>"% target not appropriate"</formula>
    </cfRule>
    <cfRule type="cellIs" dxfId="104" priority="61" operator="lessThan">
      <formula>0</formula>
    </cfRule>
  </conditionalFormatting>
  <conditionalFormatting sqref="D9">
    <cfRule type="cellIs" dxfId="103" priority="58" operator="equal">
      <formula>"BNG Tragets Not Met ▲"</formula>
    </cfRule>
    <cfRule type="cellIs" dxfId="102" priority="59" operator="equal">
      <formula>"BNG Targets Met ✓"</formula>
    </cfRule>
  </conditionalFormatting>
  <conditionalFormatting sqref="D19:E21">
    <cfRule type="cellIs" dxfId="101" priority="17" operator="equal">
      <formula>"Error ▲"</formula>
    </cfRule>
    <cfRule type="cellIs" dxfId="100" priority="38" operator="lessThan">
      <formula>0</formula>
    </cfRule>
    <cfRule type="cellIs" dxfId="99" priority="39" operator="equal">
      <formula>0</formula>
    </cfRule>
  </conditionalFormatting>
  <conditionalFormatting sqref="E23:E25">
    <cfRule type="containsBlanks" dxfId="98" priority="25">
      <formula>LEN(TRIM(E23))=0</formula>
    </cfRule>
    <cfRule type="expression" dxfId="97" priority="27">
      <formula>$F23&gt;=0</formula>
    </cfRule>
    <cfRule type="expression" dxfId="96" priority="28">
      <formula>$F23&lt;0</formula>
    </cfRule>
  </conditionalFormatting>
  <conditionalFormatting sqref="C36:D38">
    <cfRule type="cellIs" dxfId="95" priority="22" operator="equal">
      <formula>"Error - Enter required % on start page"</formula>
    </cfRule>
    <cfRule type="cellIs" dxfId="94" priority="24" operator="lessThan">
      <formula>0</formula>
    </cfRule>
  </conditionalFormatting>
  <conditionalFormatting sqref="C36:D38">
    <cfRule type="cellIs" dxfId="93" priority="23" operator="equal">
      <formula>"Error"</formula>
    </cfRule>
  </conditionalFormatting>
  <conditionalFormatting sqref="D7 G7:H7">
    <cfRule type="cellIs" dxfId="92" priority="20" operator="equal">
      <formula>"Trading Rules Not Satisfied ▲"</formula>
    </cfRule>
    <cfRule type="cellIs" dxfId="91" priority="21" operator="equal">
      <formula>"Trading Rules Satisfied ✓"</formula>
    </cfRule>
  </conditionalFormatting>
  <conditionalFormatting sqref="E19:E25">
    <cfRule type="containsText" dxfId="90" priority="8" operator="containsText" text="⚠">
      <formula>NOT(ISERROR(SEARCH("⚠",E19)))</formula>
    </cfRule>
    <cfRule type="containsText" dxfId="89" priority="18" operator="containsText" text="✓">
      <formula>NOT(ISERROR(SEARCH("✓",E19)))</formula>
    </cfRule>
    <cfRule type="containsText" dxfId="88" priority="19" operator="containsText" text="▲">
      <formula>NOT(ISERROR(SEARCH("▲",E19)))</formula>
    </cfRule>
  </conditionalFormatting>
  <conditionalFormatting sqref="D19">
    <cfRule type="cellIs" dxfId="87" priority="11" operator="greaterThanOrEqual">
      <formula>$F$11</formula>
    </cfRule>
    <cfRule type="cellIs" dxfId="86" priority="14" operator="between">
      <formula>0</formula>
      <formula>$F$11</formula>
    </cfRule>
  </conditionalFormatting>
  <conditionalFormatting sqref="D20">
    <cfRule type="cellIs" dxfId="85" priority="10" operator="greaterThanOrEqual">
      <formula>$F$12</formula>
    </cfRule>
    <cfRule type="cellIs" dxfId="84" priority="13" operator="between">
      <formula>0</formula>
      <formula>$F$12</formula>
    </cfRule>
  </conditionalFormatting>
  <conditionalFormatting sqref="D21">
    <cfRule type="cellIs" dxfId="83" priority="9" operator="greaterThanOrEqual">
      <formula>$F$13</formula>
    </cfRule>
    <cfRule type="cellIs" dxfId="82" priority="12" operator="between">
      <formula>0</formula>
      <formula>$F$13</formula>
    </cfRule>
  </conditionalFormatting>
  <conditionalFormatting sqref="D23">
    <cfRule type="cellIs" dxfId="81" priority="6" operator="between">
      <formula>$F$19</formula>
      <formula>0</formula>
    </cfRule>
    <cfRule type="cellIs" dxfId="80" priority="7" operator="greaterThanOrEqual">
      <formula>$F$19</formula>
    </cfRule>
  </conditionalFormatting>
  <conditionalFormatting sqref="D24">
    <cfRule type="cellIs" dxfId="79" priority="4" operator="between">
      <formula>$F$20</formula>
      <formula>0</formula>
    </cfRule>
    <cfRule type="cellIs" dxfId="78" priority="5" operator="greaterThanOrEqual">
      <formula>$F$20</formula>
    </cfRule>
  </conditionalFormatting>
  <conditionalFormatting sqref="D25">
    <cfRule type="cellIs" dxfId="77" priority="2" operator="between">
      <formula>$F$21</formula>
      <formula>0</formula>
    </cfRule>
    <cfRule type="cellIs" dxfId="76" priority="3" operator="greaterThanOrEqual">
      <formula>$F$21</formula>
    </cfRule>
  </conditionalFormatting>
  <conditionalFormatting sqref="D9:E9">
    <cfRule type="containsText" dxfId="75" priority="1" operator="containsText" text="⚠">
      <formula>NOT(ISERROR(SEARCH("⚠",D9)))</formula>
    </cfRule>
  </conditionalFormatting>
  <pageMargins left="0.7" right="0.7" top="0.75" bottom="0.75" header="0.3" footer="0.3"/>
  <pageSetup paperSize="9" scale="60"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3449-10CE-43A3-A07F-9DA593EC1650}">
  <sheetPr codeName="Sheet10">
    <tabColor rgb="FF005E5C"/>
    <pageSetUpPr fitToPage="1"/>
  </sheetPr>
  <dimension ref="A1:Y110"/>
  <sheetViews>
    <sheetView zoomScale="80" zoomScaleNormal="80" workbookViewId="0">
      <pane xSplit="1" ySplit="3" topLeftCell="C4" activePane="bottomRight" state="frozen"/>
      <selection pane="topRight" activeCell="B1" sqref="B1"/>
      <selection pane="bottomLeft" activeCell="A4" sqref="A4"/>
      <selection pane="bottomRight"/>
    </sheetView>
  </sheetViews>
  <sheetFormatPr defaultColWidth="0" defaultRowHeight="14.4" zeroHeight="1" x14ac:dyDescent="0.3"/>
  <cols>
    <col min="1" max="2" width="8.77734375" customWidth="1"/>
    <col min="3" max="3" width="78.5546875" bestFit="1" customWidth="1"/>
    <col min="4" max="4" width="28.5546875" style="18" customWidth="1"/>
    <col min="5" max="5" width="14.44140625" hidden="1" customWidth="1"/>
    <col min="6" max="6" width="18.44140625" hidden="1" customWidth="1"/>
    <col min="7" max="7" width="15.77734375" style="18" customWidth="1"/>
    <col min="8" max="8" width="34.5546875" style="20" customWidth="1"/>
    <col min="9" max="9" width="13" customWidth="1"/>
    <col min="10" max="10" width="12.77734375" bestFit="1" customWidth="1"/>
    <col min="11" max="11" width="23.77734375" hidden="1" customWidth="1"/>
    <col min="12" max="25" width="8.77734375" customWidth="1"/>
    <col min="26" max="16384" width="8.77734375" hidden="1"/>
  </cols>
  <sheetData>
    <row r="1" spans="1:25" ht="26.1" customHeight="1" thickBot="1" x14ac:dyDescent="0.35">
      <c r="A1" s="25"/>
      <c r="B1" s="1015" t="s">
        <v>281</v>
      </c>
      <c r="C1" s="1016"/>
      <c r="D1" s="1016"/>
      <c r="E1" s="1016"/>
      <c r="F1" s="1016"/>
      <c r="G1" s="1016"/>
      <c r="H1" s="1016"/>
      <c r="I1" s="1016"/>
      <c r="J1" s="1017"/>
      <c r="K1" s="219">
        <v>9</v>
      </c>
      <c r="L1" s="25"/>
      <c r="M1" s="25"/>
      <c r="N1" s="25"/>
      <c r="O1" s="25"/>
      <c r="P1" s="25"/>
      <c r="Q1" s="25"/>
      <c r="R1" s="25"/>
      <c r="S1" s="25"/>
      <c r="T1" s="25"/>
      <c r="U1" s="25"/>
      <c r="V1" s="25"/>
      <c r="W1" s="25"/>
      <c r="X1" s="25"/>
      <c r="Y1" s="25"/>
    </row>
    <row r="2" spans="1:25" ht="18" x14ac:dyDescent="0.35">
      <c r="A2" s="25"/>
      <c r="B2" s="1013" t="s">
        <v>46</v>
      </c>
      <c r="C2" s="1010" t="s">
        <v>255</v>
      </c>
      <c r="D2" s="1010"/>
      <c r="E2" s="1010"/>
      <c r="F2" s="1010"/>
      <c r="G2" s="1011" t="s">
        <v>82</v>
      </c>
      <c r="H2" s="1011"/>
      <c r="I2" s="1012" t="s">
        <v>282</v>
      </c>
      <c r="J2" s="1012"/>
      <c r="K2" s="129" t="s">
        <v>283</v>
      </c>
      <c r="L2" s="25"/>
      <c r="M2" s="25"/>
      <c r="N2" s="25"/>
      <c r="O2" s="25"/>
      <c r="P2" s="25"/>
      <c r="Q2" s="25"/>
      <c r="R2" s="25"/>
      <c r="S2" s="25"/>
      <c r="T2" s="25"/>
      <c r="U2" s="25"/>
      <c r="V2" s="25"/>
      <c r="W2" s="25"/>
      <c r="X2" s="25"/>
      <c r="Y2" s="25"/>
    </row>
    <row r="3" spans="1:25" ht="43.2" x14ac:dyDescent="0.3">
      <c r="A3" s="25"/>
      <c r="B3" s="1014"/>
      <c r="C3" s="130" t="s">
        <v>255</v>
      </c>
      <c r="D3" s="130" t="s">
        <v>284</v>
      </c>
      <c r="E3" s="130" t="s">
        <v>285</v>
      </c>
      <c r="F3" s="130" t="s">
        <v>286</v>
      </c>
      <c r="G3" s="276" t="s">
        <v>287</v>
      </c>
      <c r="H3" s="276" t="s">
        <v>288</v>
      </c>
      <c r="I3" s="62" t="s">
        <v>289</v>
      </c>
      <c r="J3" s="62" t="s">
        <v>290</v>
      </c>
      <c r="K3" s="131" t="s">
        <v>291</v>
      </c>
      <c r="L3" s="25"/>
      <c r="M3" s="25"/>
      <c r="N3" s="25"/>
      <c r="O3" s="25"/>
      <c r="P3" s="25"/>
      <c r="Q3" s="25"/>
      <c r="R3" s="25"/>
      <c r="S3" s="25"/>
      <c r="T3" s="25"/>
      <c r="U3" s="25"/>
      <c r="V3" s="25"/>
      <c r="W3" s="25"/>
      <c r="X3" s="25"/>
      <c r="Y3" s="25"/>
    </row>
    <row r="4" spans="1:25" ht="28.8" x14ac:dyDescent="0.3">
      <c r="A4" s="25"/>
      <c r="B4" s="7">
        <v>1</v>
      </c>
      <c r="C4" s="7" t="s">
        <v>292</v>
      </c>
      <c r="D4" s="7" t="s">
        <v>199</v>
      </c>
      <c r="E4" s="7"/>
      <c r="F4" s="7"/>
      <c r="G4" s="9" t="s">
        <v>202</v>
      </c>
      <c r="H4" s="9" t="s">
        <v>293</v>
      </c>
      <c r="I4" s="9" t="s">
        <v>200</v>
      </c>
      <c r="J4" s="9" t="s">
        <v>200</v>
      </c>
      <c r="K4" s="7" t="s">
        <v>200</v>
      </c>
      <c r="L4" s="25"/>
      <c r="M4" s="25"/>
      <c r="N4" s="25"/>
      <c r="O4" s="25"/>
      <c r="P4" s="25"/>
      <c r="Q4" s="25"/>
      <c r="R4" s="25"/>
      <c r="S4" s="25"/>
      <c r="T4" s="25"/>
      <c r="U4" s="25"/>
      <c r="V4" s="25"/>
      <c r="W4" s="25"/>
      <c r="X4" s="25"/>
      <c r="Y4" s="25"/>
    </row>
    <row r="5" spans="1:25" ht="28.8" x14ac:dyDescent="0.3">
      <c r="A5" s="25"/>
      <c r="B5" s="7">
        <v>2</v>
      </c>
      <c r="C5" s="7" t="s">
        <v>294</v>
      </c>
      <c r="D5" s="7" t="s">
        <v>199</v>
      </c>
      <c r="E5" s="7"/>
      <c r="F5" s="7"/>
      <c r="G5" s="9" t="s">
        <v>202</v>
      </c>
      <c r="H5" s="9" t="s">
        <v>293</v>
      </c>
      <c r="I5" s="9" t="s">
        <v>200</v>
      </c>
      <c r="J5" s="9" t="s">
        <v>200</v>
      </c>
      <c r="K5" s="7" t="s">
        <v>200</v>
      </c>
      <c r="L5" s="25"/>
      <c r="M5" s="25"/>
      <c r="N5" s="25"/>
      <c r="O5" s="25"/>
      <c r="P5" s="25"/>
      <c r="Q5" s="25"/>
      <c r="R5" s="25"/>
      <c r="S5" s="25"/>
      <c r="T5" s="25"/>
      <c r="U5" s="25"/>
      <c r="V5" s="25"/>
      <c r="W5" s="25"/>
      <c r="X5" s="25"/>
      <c r="Y5" s="25"/>
    </row>
    <row r="6" spans="1:25" ht="28.8" x14ac:dyDescent="0.3">
      <c r="A6" s="25"/>
      <c r="B6" s="7">
        <v>3</v>
      </c>
      <c r="C6" s="7" t="s">
        <v>295</v>
      </c>
      <c r="D6" s="7" t="s">
        <v>199</v>
      </c>
      <c r="E6" s="7"/>
      <c r="F6" s="7"/>
      <c r="G6" s="9" t="s">
        <v>202</v>
      </c>
      <c r="H6" s="9" t="s">
        <v>293</v>
      </c>
      <c r="I6" s="9" t="s">
        <v>200</v>
      </c>
      <c r="J6" s="9" t="s">
        <v>200</v>
      </c>
      <c r="K6" s="7" t="s">
        <v>200</v>
      </c>
      <c r="L6" s="25"/>
      <c r="M6" s="25"/>
      <c r="N6" s="25"/>
      <c r="O6" s="25"/>
      <c r="P6" s="25"/>
      <c r="Q6" s="25"/>
      <c r="R6" s="25"/>
      <c r="S6" s="25"/>
      <c r="T6" s="25"/>
      <c r="U6" s="25"/>
      <c r="V6" s="25"/>
      <c r="W6" s="25"/>
      <c r="X6" s="25"/>
      <c r="Y6" s="25"/>
    </row>
    <row r="7" spans="1:25" ht="28.8" x14ac:dyDescent="0.3">
      <c r="A7" s="25"/>
      <c r="B7" s="7">
        <v>4</v>
      </c>
      <c r="C7" s="7" t="s">
        <v>296</v>
      </c>
      <c r="D7" s="7" t="s">
        <v>199</v>
      </c>
      <c r="E7" s="7"/>
      <c r="F7" s="7"/>
      <c r="G7" s="9" t="s">
        <v>202</v>
      </c>
      <c r="H7" s="9" t="s">
        <v>293</v>
      </c>
      <c r="I7" s="9" t="s">
        <v>200</v>
      </c>
      <c r="J7" s="9" t="s">
        <v>200</v>
      </c>
      <c r="K7" s="7" t="s">
        <v>200</v>
      </c>
      <c r="L7" s="25"/>
      <c r="M7" s="25"/>
      <c r="N7" s="25"/>
      <c r="O7" s="25"/>
      <c r="P7" s="25"/>
      <c r="Q7" s="25"/>
      <c r="R7" s="25"/>
      <c r="S7" s="25"/>
      <c r="T7" s="25"/>
      <c r="U7" s="25"/>
      <c r="V7" s="25"/>
      <c r="W7" s="25"/>
      <c r="X7" s="25"/>
      <c r="Y7" s="25"/>
    </row>
    <row r="8" spans="1:25" ht="28.8" x14ac:dyDescent="0.3">
      <c r="A8" s="25"/>
      <c r="B8" s="7">
        <v>5</v>
      </c>
      <c r="C8" s="7" t="s">
        <v>297</v>
      </c>
      <c r="D8" s="7" t="s">
        <v>199</v>
      </c>
      <c r="E8" s="7"/>
      <c r="F8" s="7"/>
      <c r="G8" s="9" t="s">
        <v>200</v>
      </c>
      <c r="H8" s="9" t="s">
        <v>298</v>
      </c>
      <c r="I8" s="9" t="s">
        <v>200</v>
      </c>
      <c r="J8" s="9" t="s">
        <v>200</v>
      </c>
      <c r="K8" s="7" t="s">
        <v>200</v>
      </c>
      <c r="L8" s="25"/>
      <c r="M8" s="25"/>
      <c r="N8" s="25"/>
      <c r="O8" s="25"/>
      <c r="P8" s="25"/>
      <c r="Q8" s="25"/>
      <c r="R8" s="25"/>
      <c r="S8" s="25"/>
      <c r="T8" s="25"/>
      <c r="U8" s="25"/>
      <c r="V8" s="25"/>
      <c r="W8" s="25"/>
      <c r="X8" s="25"/>
      <c r="Y8" s="25"/>
    </row>
    <row r="9" spans="1:25" ht="28.8" x14ac:dyDescent="0.3">
      <c r="A9" s="25"/>
      <c r="B9" s="7">
        <f>B8+1</f>
        <v>6</v>
      </c>
      <c r="C9" s="7" t="s">
        <v>299</v>
      </c>
      <c r="D9" s="7" t="s">
        <v>199</v>
      </c>
      <c r="E9" s="7"/>
      <c r="F9" s="7"/>
      <c r="G9" s="9" t="s">
        <v>200</v>
      </c>
      <c r="H9" s="9" t="s">
        <v>298</v>
      </c>
      <c r="I9" s="9" t="s">
        <v>200</v>
      </c>
      <c r="J9" s="9" t="s">
        <v>200</v>
      </c>
      <c r="K9" s="7" t="s">
        <v>200</v>
      </c>
      <c r="L9" s="25"/>
      <c r="M9" s="25"/>
      <c r="N9" s="25"/>
      <c r="O9" s="25"/>
      <c r="P9" s="25"/>
      <c r="Q9" s="25"/>
      <c r="R9" s="25"/>
      <c r="S9" s="25"/>
      <c r="T9" s="25"/>
      <c r="U9" s="25"/>
      <c r="V9" s="25"/>
      <c r="W9" s="25"/>
      <c r="X9" s="25"/>
      <c r="Y9" s="25"/>
    </row>
    <row r="10" spans="1:25" ht="28.8" x14ac:dyDescent="0.3">
      <c r="A10" s="25"/>
      <c r="B10" s="7">
        <f t="shared" ref="B10:B76" si="0">B9+1</f>
        <v>7</v>
      </c>
      <c r="C10" s="7" t="s">
        <v>300</v>
      </c>
      <c r="D10" s="7" t="s">
        <v>199</v>
      </c>
      <c r="E10" s="7"/>
      <c r="F10" s="7"/>
      <c r="G10" s="9" t="s">
        <v>200</v>
      </c>
      <c r="H10" s="9" t="s">
        <v>298</v>
      </c>
      <c r="I10" s="9" t="s">
        <v>200</v>
      </c>
      <c r="J10" s="9" t="s">
        <v>200</v>
      </c>
      <c r="K10" s="7" t="s">
        <v>200</v>
      </c>
      <c r="L10" s="25"/>
      <c r="M10" s="25"/>
      <c r="N10" s="25"/>
      <c r="O10" s="25"/>
      <c r="P10" s="25"/>
      <c r="Q10" s="25"/>
      <c r="R10" s="25"/>
      <c r="S10" s="25"/>
      <c r="T10" s="25"/>
      <c r="U10" s="25"/>
      <c r="V10" s="25"/>
      <c r="W10" s="25"/>
      <c r="X10" s="25"/>
      <c r="Y10" s="25"/>
    </row>
    <row r="11" spans="1:25" ht="28.8" x14ac:dyDescent="0.3">
      <c r="A11" s="25"/>
      <c r="B11" s="7">
        <f t="shared" si="0"/>
        <v>8</v>
      </c>
      <c r="C11" s="7" t="s">
        <v>301</v>
      </c>
      <c r="D11" s="7" t="s">
        <v>199</v>
      </c>
      <c r="E11" s="7"/>
      <c r="F11" s="7"/>
      <c r="G11" s="9" t="s">
        <v>200</v>
      </c>
      <c r="H11" s="9" t="s">
        <v>298</v>
      </c>
      <c r="I11" s="9" t="s">
        <v>200</v>
      </c>
      <c r="J11" s="9" t="s">
        <v>200</v>
      </c>
      <c r="K11" s="7" t="s">
        <v>200</v>
      </c>
      <c r="L11" s="25"/>
      <c r="M11" s="25"/>
      <c r="N11" s="25"/>
      <c r="O11" s="25"/>
      <c r="P11" s="25"/>
      <c r="Q11" s="25"/>
      <c r="R11" s="25"/>
      <c r="S11" s="25"/>
      <c r="T11" s="25"/>
      <c r="U11" s="25"/>
      <c r="V11" s="25"/>
      <c r="W11" s="25"/>
      <c r="X11" s="25"/>
      <c r="Y11" s="25"/>
    </row>
    <row r="12" spans="1:25" ht="28.8" x14ac:dyDescent="0.3">
      <c r="A12" s="25"/>
      <c r="B12" s="7">
        <f t="shared" si="0"/>
        <v>9</v>
      </c>
      <c r="C12" s="7" t="s">
        <v>302</v>
      </c>
      <c r="D12" s="7" t="s">
        <v>199</v>
      </c>
      <c r="E12" s="7"/>
      <c r="F12" s="7"/>
      <c r="G12" s="9" t="s">
        <v>200</v>
      </c>
      <c r="H12" s="9" t="s">
        <v>298</v>
      </c>
      <c r="I12" s="9" t="s">
        <v>200</v>
      </c>
      <c r="J12" s="9" t="s">
        <v>200</v>
      </c>
      <c r="K12" s="7" t="s">
        <v>200</v>
      </c>
      <c r="L12" s="25"/>
      <c r="M12" s="25"/>
      <c r="N12" s="25"/>
      <c r="O12" s="25"/>
      <c r="P12" s="25"/>
      <c r="Q12" s="25"/>
      <c r="R12" s="25"/>
      <c r="S12" s="25"/>
      <c r="T12" s="25"/>
      <c r="U12" s="25"/>
      <c r="V12" s="25"/>
      <c r="W12" s="25"/>
      <c r="X12" s="25"/>
      <c r="Y12" s="25"/>
    </row>
    <row r="13" spans="1:25" ht="28.8" x14ac:dyDescent="0.3">
      <c r="A13" s="25"/>
      <c r="B13" s="7">
        <f t="shared" si="0"/>
        <v>10</v>
      </c>
      <c r="C13" s="7" t="s">
        <v>303</v>
      </c>
      <c r="D13" s="7" t="s">
        <v>199</v>
      </c>
      <c r="E13" s="7"/>
      <c r="F13" s="7"/>
      <c r="G13" s="9" t="s">
        <v>200</v>
      </c>
      <c r="H13" s="9" t="s">
        <v>298</v>
      </c>
      <c r="I13" s="9" t="s">
        <v>200</v>
      </c>
      <c r="J13" s="9" t="s">
        <v>200</v>
      </c>
      <c r="K13" s="7" t="s">
        <v>200</v>
      </c>
      <c r="L13" s="25"/>
      <c r="M13" s="25"/>
      <c r="N13" s="25"/>
      <c r="O13" s="25"/>
      <c r="P13" s="25"/>
      <c r="Q13" s="25"/>
      <c r="R13" s="25"/>
      <c r="S13" s="25"/>
      <c r="T13" s="25"/>
      <c r="U13" s="25"/>
      <c r="V13" s="25"/>
      <c r="W13" s="25"/>
      <c r="X13" s="25"/>
      <c r="Y13" s="25"/>
    </row>
    <row r="14" spans="1:25" ht="28.8" x14ac:dyDescent="0.3">
      <c r="A14" s="25"/>
      <c r="B14" s="7">
        <f t="shared" si="0"/>
        <v>11</v>
      </c>
      <c r="C14" s="7" t="s">
        <v>304</v>
      </c>
      <c r="D14" s="7" t="s">
        <v>203</v>
      </c>
      <c r="E14" s="7"/>
      <c r="F14" s="7"/>
      <c r="G14" s="9" t="s">
        <v>200</v>
      </c>
      <c r="H14" s="9" t="s">
        <v>298</v>
      </c>
      <c r="I14" s="9" t="s">
        <v>200</v>
      </c>
      <c r="J14" s="9" t="s">
        <v>200</v>
      </c>
      <c r="K14" s="7" t="s">
        <v>200</v>
      </c>
      <c r="L14" s="25"/>
      <c r="M14" s="25"/>
      <c r="N14" s="25"/>
      <c r="O14" s="25"/>
      <c r="P14" s="25"/>
      <c r="Q14" s="25"/>
      <c r="R14" s="25"/>
      <c r="S14" s="25"/>
      <c r="T14" s="25"/>
      <c r="U14" s="25"/>
      <c r="V14" s="25"/>
      <c r="W14" s="25"/>
      <c r="X14" s="25"/>
      <c r="Y14" s="25"/>
    </row>
    <row r="15" spans="1:25" ht="28.8" x14ac:dyDescent="0.3">
      <c r="A15" s="25"/>
      <c r="B15" s="7">
        <f t="shared" si="0"/>
        <v>12</v>
      </c>
      <c r="C15" s="7" t="s">
        <v>305</v>
      </c>
      <c r="D15" s="7" t="s">
        <v>203</v>
      </c>
      <c r="E15" s="7"/>
      <c r="F15" s="7"/>
      <c r="G15" s="9" t="s">
        <v>200</v>
      </c>
      <c r="H15" s="9" t="s">
        <v>298</v>
      </c>
      <c r="I15" s="9" t="s">
        <v>200</v>
      </c>
      <c r="J15" s="9" t="s">
        <v>200</v>
      </c>
      <c r="K15" s="7" t="s">
        <v>200</v>
      </c>
      <c r="L15" s="25"/>
      <c r="M15" s="25"/>
      <c r="N15" s="25"/>
      <c r="O15" s="25"/>
      <c r="P15" s="25"/>
      <c r="Q15" s="25"/>
      <c r="R15" s="25"/>
      <c r="S15" s="25"/>
      <c r="T15" s="25"/>
      <c r="U15" s="25"/>
      <c r="V15" s="25"/>
      <c r="W15" s="25"/>
      <c r="X15" s="25"/>
      <c r="Y15" s="25"/>
    </row>
    <row r="16" spans="1:25" ht="28.8" x14ac:dyDescent="0.3">
      <c r="A16" s="25"/>
      <c r="B16" s="7">
        <f t="shared" si="0"/>
        <v>13</v>
      </c>
      <c r="C16" s="7" t="s">
        <v>306</v>
      </c>
      <c r="D16" s="7" t="s">
        <v>203</v>
      </c>
      <c r="E16" s="7"/>
      <c r="F16" s="7"/>
      <c r="G16" s="9" t="s">
        <v>202</v>
      </c>
      <c r="H16" s="9" t="s">
        <v>293</v>
      </c>
      <c r="I16" s="9" t="s">
        <v>200</v>
      </c>
      <c r="J16" s="9" t="s">
        <v>200</v>
      </c>
      <c r="K16" s="7" t="s">
        <v>200</v>
      </c>
      <c r="L16" s="25"/>
      <c r="M16" s="25"/>
      <c r="N16" s="25"/>
      <c r="O16" s="25"/>
      <c r="P16" s="25"/>
      <c r="Q16" s="25"/>
      <c r="R16" s="25"/>
      <c r="S16" s="25"/>
      <c r="T16" s="25"/>
      <c r="U16" s="25"/>
      <c r="V16" s="25"/>
      <c r="W16" s="25"/>
      <c r="X16" s="25"/>
      <c r="Y16" s="25"/>
    </row>
    <row r="17" spans="1:25" ht="28.8" x14ac:dyDescent="0.3">
      <c r="A17" s="25"/>
      <c r="B17" s="7">
        <f t="shared" si="0"/>
        <v>14</v>
      </c>
      <c r="C17" s="7" t="s">
        <v>307</v>
      </c>
      <c r="D17" s="7" t="s">
        <v>203</v>
      </c>
      <c r="E17" s="7"/>
      <c r="F17" s="7"/>
      <c r="G17" s="9" t="s">
        <v>202</v>
      </c>
      <c r="H17" s="9" t="s">
        <v>293</v>
      </c>
      <c r="I17" s="9" t="s">
        <v>200</v>
      </c>
      <c r="J17" s="9" t="s">
        <v>200</v>
      </c>
      <c r="K17" s="7" t="s">
        <v>200</v>
      </c>
      <c r="L17" s="25"/>
      <c r="M17" s="25"/>
      <c r="N17" s="25"/>
      <c r="O17" s="25"/>
      <c r="P17" s="25"/>
      <c r="Q17" s="25"/>
      <c r="R17" s="25"/>
      <c r="S17" s="25"/>
      <c r="T17" s="25"/>
      <c r="U17" s="25"/>
      <c r="V17" s="25"/>
      <c r="W17" s="25"/>
      <c r="X17" s="25"/>
      <c r="Y17" s="25"/>
    </row>
    <row r="18" spans="1:25" ht="28.8" x14ac:dyDescent="0.3">
      <c r="A18" s="25"/>
      <c r="B18" s="7">
        <f t="shared" si="0"/>
        <v>15</v>
      </c>
      <c r="C18" s="7" t="s">
        <v>308</v>
      </c>
      <c r="D18" s="7" t="s">
        <v>203</v>
      </c>
      <c r="E18" s="7"/>
      <c r="F18" s="7"/>
      <c r="G18" s="9" t="s">
        <v>202</v>
      </c>
      <c r="H18" s="9" t="s">
        <v>293</v>
      </c>
      <c r="I18" s="9" t="s">
        <v>200</v>
      </c>
      <c r="J18" s="9" t="s">
        <v>200</v>
      </c>
      <c r="K18" s="7" t="s">
        <v>200</v>
      </c>
      <c r="L18" s="25"/>
      <c r="M18" s="25"/>
      <c r="N18" s="25"/>
      <c r="O18" s="25"/>
      <c r="P18" s="25"/>
      <c r="Q18" s="25"/>
      <c r="R18" s="25"/>
      <c r="S18" s="25"/>
      <c r="T18" s="25"/>
      <c r="U18" s="25"/>
      <c r="V18" s="25"/>
      <c r="W18" s="25"/>
      <c r="X18" s="25"/>
      <c r="Y18" s="25"/>
    </row>
    <row r="19" spans="1:25" ht="28.8" x14ac:dyDescent="0.3">
      <c r="A19" s="25"/>
      <c r="B19" s="7">
        <f t="shared" si="0"/>
        <v>16</v>
      </c>
      <c r="C19" s="7" t="s">
        <v>309</v>
      </c>
      <c r="D19" s="7" t="s">
        <v>204</v>
      </c>
      <c r="E19" s="7"/>
      <c r="F19" s="7"/>
      <c r="G19" s="9" t="s">
        <v>202</v>
      </c>
      <c r="H19" s="9" t="s">
        <v>293</v>
      </c>
      <c r="I19" s="9" t="s">
        <v>200</v>
      </c>
      <c r="J19" s="9" t="s">
        <v>200</v>
      </c>
      <c r="K19" s="7" t="s">
        <v>200</v>
      </c>
      <c r="L19" s="25"/>
      <c r="M19" s="25"/>
      <c r="N19" s="25"/>
      <c r="O19" s="25"/>
      <c r="P19" s="25"/>
      <c r="Q19" s="25"/>
      <c r="R19" s="25"/>
      <c r="S19" s="25"/>
      <c r="T19" s="25"/>
      <c r="U19" s="25"/>
      <c r="V19" s="25"/>
      <c r="W19" s="25"/>
      <c r="X19" s="25"/>
      <c r="Y19" s="25"/>
    </row>
    <row r="20" spans="1:25" ht="28.8" x14ac:dyDescent="0.3">
      <c r="A20" s="25"/>
      <c r="B20" s="7">
        <f t="shared" si="0"/>
        <v>17</v>
      </c>
      <c r="C20" s="7" t="s">
        <v>310</v>
      </c>
      <c r="D20" s="7" t="s">
        <v>204</v>
      </c>
      <c r="E20" s="7"/>
      <c r="F20" s="7"/>
      <c r="G20" s="9" t="s">
        <v>202</v>
      </c>
      <c r="H20" s="9" t="s">
        <v>293</v>
      </c>
      <c r="I20" s="9" t="s">
        <v>200</v>
      </c>
      <c r="J20" s="9" t="s">
        <v>200</v>
      </c>
      <c r="K20" s="7" t="s">
        <v>200</v>
      </c>
      <c r="L20" s="25"/>
      <c r="M20" s="25"/>
      <c r="N20" s="25"/>
      <c r="O20" s="25"/>
      <c r="P20" s="25"/>
      <c r="Q20" s="25"/>
      <c r="R20" s="25"/>
      <c r="S20" s="25"/>
      <c r="T20" s="25"/>
      <c r="U20" s="25"/>
      <c r="V20" s="25"/>
      <c r="W20" s="25"/>
      <c r="X20" s="25"/>
      <c r="Y20" s="25"/>
    </row>
    <row r="21" spans="1:25" ht="28.8" x14ac:dyDescent="0.3">
      <c r="A21" s="25"/>
      <c r="B21" s="7">
        <f t="shared" si="0"/>
        <v>18</v>
      </c>
      <c r="C21" s="7" t="s">
        <v>311</v>
      </c>
      <c r="D21" s="7" t="s">
        <v>204</v>
      </c>
      <c r="E21" s="7"/>
      <c r="F21" s="7"/>
      <c r="G21" s="9" t="s">
        <v>202</v>
      </c>
      <c r="H21" s="9" t="s">
        <v>293</v>
      </c>
      <c r="I21" s="9" t="s">
        <v>200</v>
      </c>
      <c r="J21" s="9" t="s">
        <v>200</v>
      </c>
      <c r="K21" s="7" t="s">
        <v>200</v>
      </c>
      <c r="L21" s="25"/>
      <c r="M21" s="25"/>
      <c r="N21" s="25"/>
      <c r="O21" s="25"/>
      <c r="P21" s="25"/>
      <c r="Q21" s="25"/>
      <c r="R21" s="25"/>
      <c r="S21" s="25"/>
      <c r="T21" s="25"/>
      <c r="U21" s="25"/>
      <c r="V21" s="25"/>
      <c r="W21" s="25"/>
      <c r="X21" s="25"/>
      <c r="Y21" s="25"/>
    </row>
    <row r="22" spans="1:25" ht="28.8" x14ac:dyDescent="0.3">
      <c r="A22" s="25"/>
      <c r="B22" s="7">
        <f t="shared" si="0"/>
        <v>19</v>
      </c>
      <c r="C22" s="7" t="s">
        <v>312</v>
      </c>
      <c r="D22" s="7" t="s">
        <v>204</v>
      </c>
      <c r="E22" s="7"/>
      <c r="F22" s="7"/>
      <c r="G22" s="9" t="s">
        <v>202</v>
      </c>
      <c r="H22" s="9" t="s">
        <v>293</v>
      </c>
      <c r="I22" s="9" t="s">
        <v>200</v>
      </c>
      <c r="J22" s="9" t="s">
        <v>200</v>
      </c>
      <c r="K22" s="7" t="s">
        <v>200</v>
      </c>
      <c r="L22" s="25"/>
      <c r="M22" s="25"/>
      <c r="N22" s="25"/>
      <c r="O22" s="25"/>
      <c r="P22" s="25"/>
      <c r="Q22" s="25"/>
      <c r="R22" s="25"/>
      <c r="S22" s="25"/>
      <c r="T22" s="25"/>
      <c r="U22" s="25"/>
      <c r="V22" s="25"/>
      <c r="W22" s="25"/>
      <c r="X22" s="25"/>
      <c r="Y22" s="25"/>
    </row>
    <row r="23" spans="1:25" ht="28.8" x14ac:dyDescent="0.3">
      <c r="A23" s="25"/>
      <c r="B23" s="7">
        <f t="shared" si="0"/>
        <v>20</v>
      </c>
      <c r="C23" s="7" t="s">
        <v>313</v>
      </c>
      <c r="D23" s="7" t="s">
        <v>204</v>
      </c>
      <c r="E23" s="7"/>
      <c r="F23" s="7"/>
      <c r="G23" s="9" t="s">
        <v>202</v>
      </c>
      <c r="H23" s="9" t="s">
        <v>293</v>
      </c>
      <c r="I23" s="9" t="s">
        <v>202</v>
      </c>
      <c r="J23" s="9" t="s">
        <v>200</v>
      </c>
      <c r="K23" s="7" t="s">
        <v>200</v>
      </c>
      <c r="L23" s="25"/>
      <c r="M23" s="25"/>
      <c r="N23" s="25"/>
      <c r="O23" s="25"/>
      <c r="P23" s="25"/>
      <c r="Q23" s="25"/>
      <c r="R23" s="25"/>
      <c r="S23" s="25"/>
      <c r="T23" s="25"/>
      <c r="U23" s="25"/>
      <c r="V23" s="25"/>
      <c r="W23" s="25"/>
      <c r="X23" s="25"/>
      <c r="Y23" s="25"/>
    </row>
    <row r="24" spans="1:25" ht="28.8" x14ac:dyDescent="0.3">
      <c r="A24" s="25"/>
      <c r="B24" s="7">
        <f t="shared" si="0"/>
        <v>21</v>
      </c>
      <c r="C24" s="7" t="s">
        <v>314</v>
      </c>
      <c r="D24" s="7" t="s">
        <v>204</v>
      </c>
      <c r="E24" s="7"/>
      <c r="F24" s="7"/>
      <c r="G24" s="9" t="s">
        <v>202</v>
      </c>
      <c r="H24" s="9" t="s">
        <v>293</v>
      </c>
      <c r="I24" s="9" t="s">
        <v>200</v>
      </c>
      <c r="J24" s="9" t="s">
        <v>200</v>
      </c>
      <c r="K24" s="7" t="s">
        <v>200</v>
      </c>
      <c r="L24" s="25"/>
      <c r="M24" s="25"/>
      <c r="N24" s="25"/>
      <c r="O24" s="25"/>
      <c r="P24" s="25"/>
      <c r="Q24" s="25"/>
      <c r="R24" s="25"/>
      <c r="S24" s="25"/>
      <c r="T24" s="25"/>
      <c r="U24" s="25"/>
      <c r="V24" s="25"/>
      <c r="W24" s="25"/>
      <c r="X24" s="25"/>
      <c r="Y24" s="25"/>
    </row>
    <row r="25" spans="1:25" ht="28.8" x14ac:dyDescent="0.3">
      <c r="A25" s="25"/>
      <c r="B25" s="7">
        <f t="shared" si="0"/>
        <v>22</v>
      </c>
      <c r="C25" s="7" t="s">
        <v>315</v>
      </c>
      <c r="D25" s="7" t="s">
        <v>204</v>
      </c>
      <c r="E25" s="7"/>
      <c r="F25" s="7"/>
      <c r="G25" s="9" t="s">
        <v>200</v>
      </c>
      <c r="H25" s="9" t="s">
        <v>298</v>
      </c>
      <c r="I25" s="9" t="s">
        <v>200</v>
      </c>
      <c r="J25" s="9" t="s">
        <v>200</v>
      </c>
      <c r="K25" s="7" t="s">
        <v>200</v>
      </c>
      <c r="L25" s="25"/>
      <c r="M25" s="25"/>
      <c r="N25" s="25"/>
      <c r="O25" s="25"/>
      <c r="P25" s="25"/>
      <c r="Q25" s="25"/>
      <c r="R25" s="25"/>
      <c r="S25" s="25"/>
      <c r="T25" s="25"/>
      <c r="U25" s="25"/>
      <c r="V25" s="25"/>
      <c r="W25" s="25"/>
      <c r="X25" s="25"/>
      <c r="Y25" s="25"/>
    </row>
    <row r="26" spans="1:25" ht="28.8" x14ac:dyDescent="0.3">
      <c r="A26" s="25"/>
      <c r="B26" s="7">
        <f>B25+1</f>
        <v>23</v>
      </c>
      <c r="C26" s="7" t="s">
        <v>316</v>
      </c>
      <c r="D26" s="7" t="s">
        <v>204</v>
      </c>
      <c r="E26" s="7"/>
      <c r="F26" s="7"/>
      <c r="G26" s="9" t="s">
        <v>200</v>
      </c>
      <c r="H26" s="9" t="s">
        <v>298</v>
      </c>
      <c r="I26" s="9" t="s">
        <v>200</v>
      </c>
      <c r="J26" s="9" t="s">
        <v>200</v>
      </c>
      <c r="K26" s="7" t="s">
        <v>200</v>
      </c>
      <c r="L26" s="25"/>
      <c r="M26" s="25"/>
      <c r="N26" s="25"/>
      <c r="O26" s="25"/>
      <c r="P26" s="25"/>
      <c r="Q26" s="25"/>
      <c r="R26" s="25"/>
      <c r="S26" s="25"/>
      <c r="T26" s="25"/>
      <c r="U26" s="25"/>
      <c r="V26" s="25"/>
      <c r="W26" s="25"/>
      <c r="X26" s="25"/>
      <c r="Y26" s="25"/>
    </row>
    <row r="27" spans="1:25" ht="29.1" customHeight="1" x14ac:dyDescent="0.3">
      <c r="A27" s="25"/>
      <c r="B27" s="7">
        <f>B26+1</f>
        <v>24</v>
      </c>
      <c r="C27" s="7" t="s">
        <v>317</v>
      </c>
      <c r="D27" s="7" t="s">
        <v>204</v>
      </c>
      <c r="E27" s="7"/>
      <c r="F27" s="7"/>
      <c r="G27" s="9" t="s">
        <v>202</v>
      </c>
      <c r="H27" s="9" t="s">
        <v>293</v>
      </c>
      <c r="I27" s="9" t="s">
        <v>202</v>
      </c>
      <c r="J27" s="9" t="s">
        <v>200</v>
      </c>
      <c r="K27" s="7"/>
      <c r="L27" s="25"/>
      <c r="M27" s="25"/>
      <c r="N27" s="25"/>
      <c r="O27" s="25"/>
      <c r="P27" s="25"/>
      <c r="Q27" s="25"/>
      <c r="R27" s="25"/>
      <c r="S27" s="25"/>
      <c r="T27" s="25"/>
      <c r="U27" s="25"/>
      <c r="V27" s="25"/>
      <c r="W27" s="25"/>
      <c r="X27" s="25"/>
      <c r="Y27" s="25"/>
    </row>
    <row r="28" spans="1:25" ht="29.1" customHeight="1" x14ac:dyDescent="0.3">
      <c r="A28" s="25"/>
      <c r="B28" s="7">
        <f>B27+1</f>
        <v>25</v>
      </c>
      <c r="C28" s="7" t="s">
        <v>318</v>
      </c>
      <c r="D28" s="7" t="s">
        <v>207</v>
      </c>
      <c r="E28" s="7"/>
      <c r="F28" s="7"/>
      <c r="G28" s="9" t="s">
        <v>200</v>
      </c>
      <c r="H28" s="9" t="s">
        <v>298</v>
      </c>
      <c r="I28" s="9" t="s">
        <v>200</v>
      </c>
      <c r="J28" s="9" t="s">
        <v>319</v>
      </c>
      <c r="K28" s="7" t="s">
        <v>200</v>
      </c>
      <c r="L28" s="25"/>
      <c r="M28" s="25"/>
      <c r="N28" s="25"/>
      <c r="O28" s="25"/>
      <c r="P28" s="25"/>
      <c r="Q28" s="25"/>
      <c r="R28" s="25"/>
      <c r="S28" s="25"/>
      <c r="T28" s="25"/>
      <c r="U28" s="25"/>
      <c r="V28" s="25"/>
      <c r="W28" s="25"/>
      <c r="X28" s="25"/>
      <c r="Y28" s="25"/>
    </row>
    <row r="29" spans="1:25" ht="28.8" x14ac:dyDescent="0.3">
      <c r="A29" s="25"/>
      <c r="B29" s="7">
        <f t="shared" si="0"/>
        <v>26</v>
      </c>
      <c r="C29" s="7" t="s">
        <v>320</v>
      </c>
      <c r="D29" s="7" t="s">
        <v>207</v>
      </c>
      <c r="E29" s="7"/>
      <c r="F29" s="7"/>
      <c r="G29" s="9" t="s">
        <v>202</v>
      </c>
      <c r="H29" s="9" t="s">
        <v>293</v>
      </c>
      <c r="I29" s="9" t="s">
        <v>200</v>
      </c>
      <c r="J29" s="9" t="s">
        <v>202</v>
      </c>
      <c r="K29" s="7" t="s">
        <v>200</v>
      </c>
      <c r="L29" s="25"/>
      <c r="M29" s="25"/>
      <c r="N29" s="25"/>
      <c r="O29" s="25"/>
      <c r="P29" s="25"/>
      <c r="Q29" s="25"/>
      <c r="R29" s="25"/>
      <c r="S29" s="25"/>
      <c r="T29" s="25"/>
      <c r="U29" s="25"/>
      <c r="V29" s="25"/>
      <c r="W29" s="25"/>
      <c r="X29" s="25"/>
      <c r="Y29" s="25"/>
    </row>
    <row r="30" spans="1:25" ht="28.8" x14ac:dyDescent="0.3">
      <c r="A30" s="25"/>
      <c r="B30" s="7">
        <f t="shared" si="0"/>
        <v>27</v>
      </c>
      <c r="C30" s="7" t="s">
        <v>321</v>
      </c>
      <c r="D30" s="7" t="s">
        <v>207</v>
      </c>
      <c r="E30" s="7"/>
      <c r="F30" s="7"/>
      <c r="G30" s="9" t="s">
        <v>202</v>
      </c>
      <c r="H30" s="9" t="s">
        <v>293</v>
      </c>
      <c r="I30" s="9" t="s">
        <v>202</v>
      </c>
      <c r="J30" s="9" t="s">
        <v>202</v>
      </c>
      <c r="K30" s="7" t="s">
        <v>200</v>
      </c>
      <c r="L30" s="25"/>
      <c r="M30" s="25"/>
      <c r="N30" s="25"/>
      <c r="O30" s="25"/>
      <c r="P30" s="25"/>
      <c r="Q30" s="25"/>
      <c r="R30" s="25"/>
      <c r="S30" s="25"/>
      <c r="T30" s="25"/>
      <c r="U30" s="25"/>
      <c r="V30" s="25"/>
      <c r="W30" s="25"/>
      <c r="X30" s="25"/>
      <c r="Y30" s="25"/>
    </row>
    <row r="31" spans="1:25" ht="28.8" x14ac:dyDescent="0.3">
      <c r="A31" s="25"/>
      <c r="B31" s="7">
        <f t="shared" si="0"/>
        <v>28</v>
      </c>
      <c r="C31" s="7" t="s">
        <v>322</v>
      </c>
      <c r="D31" s="7" t="s">
        <v>208</v>
      </c>
      <c r="E31" s="7"/>
      <c r="F31" s="7"/>
      <c r="G31" s="9" t="s">
        <v>200</v>
      </c>
      <c r="H31" s="9" t="s">
        <v>298</v>
      </c>
      <c r="I31" s="9" t="s">
        <v>200</v>
      </c>
      <c r="J31" s="9" t="s">
        <v>202</v>
      </c>
      <c r="K31" s="7" t="s">
        <v>200</v>
      </c>
      <c r="L31" s="25"/>
      <c r="M31" s="25"/>
      <c r="N31" s="25"/>
      <c r="O31" s="25"/>
      <c r="P31" s="25"/>
      <c r="Q31" s="25"/>
      <c r="R31" s="25"/>
      <c r="S31" s="25"/>
      <c r="T31" s="25"/>
      <c r="U31" s="25"/>
      <c r="V31" s="25"/>
      <c r="W31" s="25"/>
      <c r="X31" s="25"/>
      <c r="Y31" s="25"/>
    </row>
    <row r="32" spans="1:25" ht="28.8" x14ac:dyDescent="0.3">
      <c r="A32" s="25"/>
      <c r="B32" s="7">
        <f t="shared" si="0"/>
        <v>29</v>
      </c>
      <c r="C32" s="7" t="s">
        <v>323</v>
      </c>
      <c r="D32" s="7" t="s">
        <v>208</v>
      </c>
      <c r="E32" s="7"/>
      <c r="F32" s="7"/>
      <c r="G32" s="9" t="s">
        <v>202</v>
      </c>
      <c r="H32" s="9" t="s">
        <v>293</v>
      </c>
      <c r="I32" s="9" t="s">
        <v>202</v>
      </c>
      <c r="J32" s="9" t="s">
        <v>202</v>
      </c>
      <c r="K32" s="7" t="s">
        <v>200</v>
      </c>
      <c r="L32" s="25"/>
      <c r="M32" s="25"/>
      <c r="N32" s="25"/>
      <c r="O32" s="25"/>
      <c r="P32" s="25"/>
      <c r="Q32" s="25"/>
      <c r="R32" s="25"/>
      <c r="S32" s="25"/>
      <c r="T32" s="25"/>
      <c r="U32" s="25"/>
      <c r="V32" s="25"/>
      <c r="W32" s="25"/>
      <c r="X32" s="25"/>
      <c r="Y32" s="25"/>
    </row>
    <row r="33" spans="1:25" ht="29.55" customHeight="1" x14ac:dyDescent="0.3">
      <c r="A33" s="25"/>
      <c r="B33" s="7">
        <f t="shared" si="0"/>
        <v>30</v>
      </c>
      <c r="C33" s="7" t="s">
        <v>324</v>
      </c>
      <c r="D33" s="7" t="s">
        <v>208</v>
      </c>
      <c r="E33" s="7"/>
      <c r="F33" s="7"/>
      <c r="G33" s="9" t="s">
        <v>200</v>
      </c>
      <c r="H33" s="9" t="s">
        <v>298</v>
      </c>
      <c r="I33" s="9" t="s">
        <v>200</v>
      </c>
      <c r="J33" s="9" t="s">
        <v>202</v>
      </c>
      <c r="K33" s="7"/>
      <c r="L33" s="25"/>
      <c r="M33" s="25"/>
      <c r="N33" s="25"/>
      <c r="O33" s="25"/>
      <c r="P33" s="25"/>
      <c r="Q33" s="25"/>
      <c r="R33" s="25"/>
      <c r="S33" s="25"/>
      <c r="T33" s="25"/>
      <c r="U33" s="25"/>
      <c r="V33" s="25"/>
      <c r="W33" s="25"/>
      <c r="X33" s="25"/>
      <c r="Y33" s="25"/>
    </row>
    <row r="34" spans="1:25" ht="28.8" x14ac:dyDescent="0.3">
      <c r="A34" s="25"/>
      <c r="B34" s="7">
        <f>B33+1</f>
        <v>31</v>
      </c>
      <c r="C34" s="7" t="s">
        <v>325</v>
      </c>
      <c r="D34" s="7" t="s">
        <v>209</v>
      </c>
      <c r="E34" s="7"/>
      <c r="F34" s="7"/>
      <c r="G34" s="9" t="s">
        <v>200</v>
      </c>
      <c r="H34" s="9" t="s">
        <v>298</v>
      </c>
      <c r="I34" s="9" t="s">
        <v>200</v>
      </c>
      <c r="J34" s="9" t="s">
        <v>200</v>
      </c>
      <c r="K34" s="7" t="s">
        <v>200</v>
      </c>
      <c r="L34" s="25"/>
      <c r="M34" s="25"/>
      <c r="N34" s="25"/>
      <c r="O34" s="25"/>
      <c r="P34" s="25"/>
      <c r="Q34" s="25"/>
      <c r="R34" s="25"/>
      <c r="S34" s="25"/>
      <c r="T34" s="25"/>
      <c r="U34" s="25"/>
      <c r="V34" s="25"/>
      <c r="W34" s="25"/>
      <c r="X34" s="25"/>
      <c r="Y34" s="25"/>
    </row>
    <row r="35" spans="1:25" ht="28.05" customHeight="1" x14ac:dyDescent="0.3">
      <c r="A35" s="25"/>
      <c r="B35" s="7">
        <f t="shared" si="0"/>
        <v>32</v>
      </c>
      <c r="C35" s="7" t="s">
        <v>326</v>
      </c>
      <c r="D35" s="7" t="s">
        <v>209</v>
      </c>
      <c r="E35" s="7"/>
      <c r="F35" s="7"/>
      <c r="G35" s="9" t="s">
        <v>327</v>
      </c>
      <c r="H35" s="9" t="s">
        <v>328</v>
      </c>
      <c r="I35" s="9" t="s">
        <v>200</v>
      </c>
      <c r="J35" s="9" t="s">
        <v>200</v>
      </c>
      <c r="K35" s="7" t="s">
        <v>200</v>
      </c>
      <c r="L35" s="25"/>
      <c r="M35" s="25"/>
      <c r="N35" s="25"/>
      <c r="O35" s="25"/>
      <c r="P35" s="25"/>
      <c r="Q35" s="25"/>
      <c r="R35" s="25"/>
      <c r="S35" s="25"/>
      <c r="T35" s="25"/>
      <c r="U35" s="25"/>
      <c r="V35" s="25"/>
      <c r="W35" s="25"/>
      <c r="X35" s="25"/>
      <c r="Y35" s="25"/>
    </row>
    <row r="36" spans="1:25" ht="28.8" x14ac:dyDescent="0.3">
      <c r="A36" s="25"/>
      <c r="B36" s="7">
        <f t="shared" si="0"/>
        <v>33</v>
      </c>
      <c r="C36" s="7" t="s">
        <v>329</v>
      </c>
      <c r="D36" s="7" t="s">
        <v>209</v>
      </c>
      <c r="E36" s="7"/>
      <c r="F36" s="7"/>
      <c r="G36" s="9" t="s">
        <v>200</v>
      </c>
      <c r="H36" s="9" t="s">
        <v>298</v>
      </c>
      <c r="I36" s="9" t="s">
        <v>202</v>
      </c>
      <c r="J36" s="9" t="s">
        <v>200</v>
      </c>
      <c r="K36" s="7" t="s">
        <v>200</v>
      </c>
      <c r="L36" s="25"/>
      <c r="M36" s="25"/>
      <c r="N36" s="25"/>
      <c r="O36" s="25"/>
      <c r="P36" s="25"/>
      <c r="Q36" s="25"/>
      <c r="R36" s="25"/>
      <c r="S36" s="25"/>
      <c r="T36" s="25"/>
      <c r="U36" s="25"/>
      <c r="V36" s="25"/>
      <c r="W36" s="25"/>
      <c r="X36" s="25"/>
      <c r="Y36" s="25"/>
    </row>
    <row r="37" spans="1:25" ht="28.8" x14ac:dyDescent="0.3">
      <c r="A37" s="25"/>
      <c r="B37" s="7">
        <f t="shared" si="0"/>
        <v>34</v>
      </c>
      <c r="C37" s="7" t="s">
        <v>330</v>
      </c>
      <c r="D37" s="7" t="s">
        <v>209</v>
      </c>
      <c r="E37" s="7"/>
      <c r="F37" s="7"/>
      <c r="G37" s="9" t="s">
        <v>202</v>
      </c>
      <c r="H37" s="9" t="s">
        <v>293</v>
      </c>
      <c r="I37" s="9" t="s">
        <v>202</v>
      </c>
      <c r="J37" s="9" t="s">
        <v>202</v>
      </c>
      <c r="K37" s="7" t="s">
        <v>200</v>
      </c>
      <c r="L37" s="25"/>
      <c r="M37" s="25"/>
      <c r="N37" s="25"/>
      <c r="O37" s="25"/>
      <c r="P37" s="25"/>
      <c r="Q37" s="25"/>
      <c r="R37" s="25"/>
      <c r="S37" s="25"/>
      <c r="T37" s="25"/>
      <c r="U37" s="25"/>
      <c r="V37" s="25"/>
      <c r="W37" s="25"/>
      <c r="X37" s="25"/>
      <c r="Y37" s="25"/>
    </row>
    <row r="38" spans="1:25" ht="29.1" customHeight="1" x14ac:dyDescent="0.3">
      <c r="A38" s="25"/>
      <c r="B38" s="7">
        <f t="shared" si="0"/>
        <v>35</v>
      </c>
      <c r="C38" s="7" t="s">
        <v>331</v>
      </c>
      <c r="D38" s="7" t="s">
        <v>209</v>
      </c>
      <c r="E38" s="7"/>
      <c r="F38" s="7"/>
      <c r="G38" s="9" t="s">
        <v>327</v>
      </c>
      <c r="H38" s="9" t="s">
        <v>328</v>
      </c>
      <c r="I38" s="9" t="s">
        <v>200</v>
      </c>
      <c r="J38" s="9" t="s">
        <v>200</v>
      </c>
      <c r="K38" s="7" t="s">
        <v>200</v>
      </c>
      <c r="L38" s="25"/>
      <c r="M38" s="25"/>
      <c r="N38" s="25"/>
      <c r="O38" s="25"/>
      <c r="P38" s="25"/>
      <c r="Q38" s="25"/>
      <c r="R38" s="25"/>
      <c r="S38" s="25"/>
      <c r="T38" s="25"/>
      <c r="U38" s="25"/>
      <c r="V38" s="25"/>
      <c r="W38" s="25"/>
      <c r="X38" s="25"/>
      <c r="Y38" s="25"/>
    </row>
    <row r="39" spans="1:25" ht="28.8" x14ac:dyDescent="0.3">
      <c r="A39" s="25"/>
      <c r="B39" s="7">
        <f t="shared" si="0"/>
        <v>36</v>
      </c>
      <c r="C39" s="7" t="s">
        <v>332</v>
      </c>
      <c r="D39" s="7" t="s">
        <v>209</v>
      </c>
      <c r="E39" s="7"/>
      <c r="F39" s="7"/>
      <c r="G39" s="9" t="s">
        <v>202</v>
      </c>
      <c r="H39" s="9" t="s">
        <v>293</v>
      </c>
      <c r="I39" s="9" t="s">
        <v>202</v>
      </c>
      <c r="J39" s="9" t="s">
        <v>200</v>
      </c>
      <c r="K39" s="7" t="s">
        <v>200</v>
      </c>
      <c r="L39" s="25"/>
      <c r="M39" s="25"/>
      <c r="N39" s="25"/>
      <c r="O39" s="25"/>
      <c r="P39" s="25"/>
      <c r="Q39" s="25"/>
      <c r="R39" s="25"/>
      <c r="S39" s="25"/>
      <c r="T39" s="25"/>
      <c r="U39" s="25"/>
      <c r="V39" s="25"/>
      <c r="W39" s="25"/>
      <c r="X39" s="25"/>
      <c r="Y39" s="25"/>
    </row>
    <row r="40" spans="1:25" ht="29.55" customHeight="1" x14ac:dyDescent="0.3">
      <c r="A40" s="25"/>
      <c r="B40" s="7">
        <f t="shared" si="0"/>
        <v>37</v>
      </c>
      <c r="C40" s="7" t="s">
        <v>333</v>
      </c>
      <c r="D40" s="7" t="s">
        <v>209</v>
      </c>
      <c r="E40" s="7"/>
      <c r="F40" s="7"/>
      <c r="G40" s="9" t="s">
        <v>327</v>
      </c>
      <c r="H40" s="9" t="s">
        <v>328</v>
      </c>
      <c r="I40" s="9" t="s">
        <v>200</v>
      </c>
      <c r="J40" s="9" t="s">
        <v>200</v>
      </c>
      <c r="K40" s="7" t="s">
        <v>200</v>
      </c>
      <c r="L40" s="25"/>
      <c r="M40" s="25"/>
      <c r="N40" s="25"/>
      <c r="O40" s="25"/>
      <c r="P40" s="25"/>
      <c r="Q40" s="25"/>
      <c r="R40" s="25"/>
      <c r="S40" s="25"/>
      <c r="T40" s="25"/>
      <c r="U40" s="25"/>
      <c r="V40" s="25"/>
      <c r="W40" s="25"/>
      <c r="X40" s="25"/>
      <c r="Y40" s="25"/>
    </row>
    <row r="41" spans="1:25" ht="28.8" x14ac:dyDescent="0.3">
      <c r="A41" s="25"/>
      <c r="B41" s="7">
        <f t="shared" si="0"/>
        <v>38</v>
      </c>
      <c r="C41" s="7" t="s">
        <v>334</v>
      </c>
      <c r="D41" s="7" t="s">
        <v>209</v>
      </c>
      <c r="E41" s="7"/>
      <c r="F41" s="7"/>
      <c r="G41" s="9" t="s">
        <v>200</v>
      </c>
      <c r="H41" s="9" t="s">
        <v>298</v>
      </c>
      <c r="I41" s="9" t="s">
        <v>200</v>
      </c>
      <c r="J41" s="9" t="s">
        <v>200</v>
      </c>
      <c r="K41" s="7" t="s">
        <v>200</v>
      </c>
      <c r="L41" s="25"/>
      <c r="M41" s="25"/>
      <c r="N41" s="25"/>
      <c r="O41" s="25"/>
      <c r="P41" s="25"/>
      <c r="Q41" s="25"/>
      <c r="R41" s="25"/>
      <c r="S41" s="25"/>
      <c r="T41" s="25"/>
      <c r="U41" s="25"/>
      <c r="V41" s="25"/>
      <c r="W41" s="25"/>
      <c r="X41" s="25"/>
      <c r="Y41" s="25"/>
    </row>
    <row r="42" spans="1:25" ht="28.8" x14ac:dyDescent="0.3">
      <c r="A42" s="25"/>
      <c r="B42" s="7">
        <f t="shared" si="0"/>
        <v>39</v>
      </c>
      <c r="C42" s="7" t="s">
        <v>335</v>
      </c>
      <c r="D42" s="7" t="s">
        <v>209</v>
      </c>
      <c r="E42" s="7"/>
      <c r="F42" s="7"/>
      <c r="G42" s="9" t="s">
        <v>200</v>
      </c>
      <c r="H42" s="9" t="s">
        <v>298</v>
      </c>
      <c r="I42" s="9" t="s">
        <v>202</v>
      </c>
      <c r="J42" s="9" t="s">
        <v>202</v>
      </c>
      <c r="K42" s="7" t="s">
        <v>200</v>
      </c>
      <c r="L42" s="25"/>
      <c r="M42" s="25"/>
      <c r="N42" s="25"/>
      <c r="O42" s="25"/>
      <c r="P42" s="25"/>
      <c r="Q42" s="25"/>
      <c r="R42" s="25"/>
      <c r="S42" s="25"/>
      <c r="T42" s="25"/>
      <c r="U42" s="25"/>
      <c r="V42" s="25"/>
      <c r="W42" s="25"/>
      <c r="X42" s="25"/>
      <c r="Y42" s="25"/>
    </row>
    <row r="43" spans="1:25" ht="28.8" x14ac:dyDescent="0.3">
      <c r="A43" s="25"/>
      <c r="B43" s="7">
        <f t="shared" si="0"/>
        <v>40</v>
      </c>
      <c r="C43" s="7" t="s">
        <v>336</v>
      </c>
      <c r="D43" s="7" t="s">
        <v>209</v>
      </c>
      <c r="E43" s="7"/>
      <c r="F43" s="7"/>
      <c r="G43" s="9" t="s">
        <v>200</v>
      </c>
      <c r="H43" s="9" t="s">
        <v>298</v>
      </c>
      <c r="I43" s="9" t="s">
        <v>202</v>
      </c>
      <c r="J43" s="9" t="s">
        <v>202</v>
      </c>
      <c r="K43" s="7" t="s">
        <v>200</v>
      </c>
      <c r="L43" s="25"/>
      <c r="M43" s="25"/>
      <c r="N43" s="25"/>
      <c r="O43" s="25"/>
      <c r="P43" s="25"/>
      <c r="Q43" s="25"/>
      <c r="R43" s="25"/>
      <c r="S43" s="25"/>
      <c r="T43" s="25"/>
      <c r="U43" s="25"/>
      <c r="V43" s="25"/>
      <c r="W43" s="25"/>
      <c r="X43" s="25"/>
      <c r="Y43" s="25"/>
    </row>
    <row r="44" spans="1:25" ht="28.8" x14ac:dyDescent="0.3">
      <c r="A44" s="25"/>
      <c r="B44" s="7">
        <f t="shared" si="0"/>
        <v>41</v>
      </c>
      <c r="C44" s="7" t="s">
        <v>337</v>
      </c>
      <c r="D44" s="7" t="s">
        <v>209</v>
      </c>
      <c r="E44" s="7"/>
      <c r="F44" s="7"/>
      <c r="G44" s="9" t="s">
        <v>200</v>
      </c>
      <c r="H44" s="9" t="s">
        <v>298</v>
      </c>
      <c r="I44" s="9" t="s">
        <v>200</v>
      </c>
      <c r="J44" s="9" t="s">
        <v>200</v>
      </c>
      <c r="K44" s="7" t="s">
        <v>200</v>
      </c>
      <c r="L44" s="25"/>
      <c r="M44" s="25"/>
      <c r="N44" s="25"/>
      <c r="O44" s="25"/>
      <c r="P44" s="25"/>
      <c r="Q44" s="25"/>
      <c r="R44" s="25"/>
      <c r="S44" s="25"/>
      <c r="T44" s="25"/>
      <c r="U44" s="25"/>
      <c r="V44" s="25"/>
      <c r="W44" s="25"/>
      <c r="X44" s="25"/>
      <c r="Y44" s="25"/>
    </row>
    <row r="45" spans="1:25" ht="28.8" x14ac:dyDescent="0.3">
      <c r="A45" s="25"/>
      <c r="B45" s="7">
        <f t="shared" si="0"/>
        <v>42</v>
      </c>
      <c r="C45" s="7" t="s">
        <v>338</v>
      </c>
      <c r="D45" s="7" t="s">
        <v>209</v>
      </c>
      <c r="E45" s="7"/>
      <c r="F45" s="7"/>
      <c r="G45" s="9" t="s">
        <v>200</v>
      </c>
      <c r="H45" s="9" t="s">
        <v>298</v>
      </c>
      <c r="I45" s="9" t="s">
        <v>200</v>
      </c>
      <c r="J45" s="9" t="s">
        <v>200</v>
      </c>
      <c r="K45" s="7" t="s">
        <v>200</v>
      </c>
      <c r="L45" s="25"/>
      <c r="M45" s="25"/>
      <c r="N45" s="25"/>
      <c r="O45" s="25"/>
      <c r="P45" s="25"/>
      <c r="Q45" s="25"/>
      <c r="R45" s="25"/>
      <c r="S45" s="25"/>
      <c r="T45" s="25"/>
      <c r="U45" s="25"/>
      <c r="V45" s="25"/>
      <c r="W45" s="25"/>
      <c r="X45" s="25"/>
      <c r="Y45" s="25"/>
    </row>
    <row r="46" spans="1:25" ht="28.8" x14ac:dyDescent="0.3">
      <c r="A46" s="25"/>
      <c r="B46" s="7">
        <f t="shared" si="0"/>
        <v>43</v>
      </c>
      <c r="C46" s="7" t="s">
        <v>339</v>
      </c>
      <c r="D46" s="7" t="s">
        <v>209</v>
      </c>
      <c r="E46" s="7"/>
      <c r="F46" s="7"/>
      <c r="G46" s="9" t="s">
        <v>200</v>
      </c>
      <c r="H46" s="9" t="s">
        <v>298</v>
      </c>
      <c r="I46" s="9" t="s">
        <v>200</v>
      </c>
      <c r="J46" s="9" t="s">
        <v>200</v>
      </c>
      <c r="K46" s="7" t="s">
        <v>200</v>
      </c>
      <c r="L46" s="25"/>
      <c r="M46" s="25"/>
      <c r="N46" s="25"/>
      <c r="O46" s="25"/>
      <c r="P46" s="25"/>
      <c r="Q46" s="25"/>
      <c r="R46" s="25"/>
      <c r="S46" s="25"/>
      <c r="T46" s="25"/>
      <c r="U46" s="25"/>
      <c r="V46" s="25"/>
      <c r="W46" s="25"/>
      <c r="X46" s="25"/>
      <c r="Y46" s="25"/>
    </row>
    <row r="47" spans="1:25" ht="28.8" x14ac:dyDescent="0.3">
      <c r="A47" s="25"/>
      <c r="B47" s="7">
        <f t="shared" si="0"/>
        <v>44</v>
      </c>
      <c r="C47" s="7" t="s">
        <v>340</v>
      </c>
      <c r="D47" s="7" t="s">
        <v>209</v>
      </c>
      <c r="E47" s="7"/>
      <c r="F47" s="7"/>
      <c r="G47" s="9" t="s">
        <v>200</v>
      </c>
      <c r="H47" s="9" t="s">
        <v>298</v>
      </c>
      <c r="I47" s="9" t="s">
        <v>200</v>
      </c>
      <c r="J47" s="9" t="s">
        <v>200</v>
      </c>
      <c r="K47" s="7" t="s">
        <v>200</v>
      </c>
      <c r="L47" s="25"/>
      <c r="M47" s="25"/>
      <c r="N47" s="25"/>
      <c r="O47" s="25"/>
      <c r="P47" s="25"/>
      <c r="Q47" s="25"/>
      <c r="R47" s="25"/>
      <c r="S47" s="25"/>
      <c r="T47" s="25"/>
      <c r="U47" s="25"/>
      <c r="V47" s="25"/>
      <c r="W47" s="25"/>
      <c r="X47" s="25"/>
      <c r="Y47" s="25"/>
    </row>
    <row r="48" spans="1:25" ht="28.8" x14ac:dyDescent="0.3">
      <c r="A48" s="25"/>
      <c r="B48" s="7">
        <f t="shared" si="0"/>
        <v>45</v>
      </c>
      <c r="C48" s="7" t="s">
        <v>341</v>
      </c>
      <c r="D48" s="7" t="s">
        <v>209</v>
      </c>
      <c r="E48" s="7"/>
      <c r="F48" s="7"/>
      <c r="G48" s="9" t="s">
        <v>200</v>
      </c>
      <c r="H48" s="9" t="s">
        <v>298</v>
      </c>
      <c r="I48" s="9" t="s">
        <v>202</v>
      </c>
      <c r="J48" s="9" t="s">
        <v>200</v>
      </c>
      <c r="K48" s="7" t="s">
        <v>200</v>
      </c>
      <c r="L48" s="25"/>
      <c r="M48" s="25"/>
      <c r="N48" s="25"/>
      <c r="O48" s="25"/>
      <c r="P48" s="25"/>
      <c r="Q48" s="25"/>
      <c r="R48" s="25"/>
      <c r="S48" s="25"/>
      <c r="T48" s="25"/>
      <c r="U48" s="25"/>
      <c r="V48" s="25"/>
      <c r="W48" s="25"/>
      <c r="X48" s="25"/>
      <c r="Y48" s="25"/>
    </row>
    <row r="49" spans="1:25" ht="28.8" x14ac:dyDescent="0.3">
      <c r="A49" s="25"/>
      <c r="B49" s="7">
        <f t="shared" si="0"/>
        <v>46</v>
      </c>
      <c r="C49" s="7" t="s">
        <v>91</v>
      </c>
      <c r="D49" s="7" t="s">
        <v>90</v>
      </c>
      <c r="E49" s="7"/>
      <c r="F49" s="7"/>
      <c r="G49" s="9" t="s">
        <v>202</v>
      </c>
      <c r="H49" s="9" t="s">
        <v>293</v>
      </c>
      <c r="I49" s="9" t="s">
        <v>200</v>
      </c>
      <c r="J49" s="9" t="s">
        <v>200</v>
      </c>
      <c r="K49" s="7" t="s">
        <v>200</v>
      </c>
      <c r="L49" s="25"/>
      <c r="M49" s="25"/>
      <c r="N49" s="25"/>
      <c r="O49" s="25"/>
      <c r="P49" s="25"/>
      <c r="Q49" s="25"/>
      <c r="R49" s="25"/>
      <c r="S49" s="25"/>
      <c r="T49" s="25"/>
      <c r="U49" s="25"/>
      <c r="V49" s="25"/>
      <c r="W49" s="25"/>
      <c r="X49" s="25"/>
      <c r="Y49" s="25"/>
    </row>
    <row r="50" spans="1:25" ht="28.8" x14ac:dyDescent="0.3">
      <c r="A50" s="25"/>
      <c r="B50" s="7">
        <f t="shared" si="0"/>
        <v>47</v>
      </c>
      <c r="C50" s="7" t="s">
        <v>342</v>
      </c>
      <c r="D50" s="7" t="s">
        <v>209</v>
      </c>
      <c r="E50" s="7"/>
      <c r="F50" s="7"/>
      <c r="G50" s="9" t="s">
        <v>200</v>
      </c>
      <c r="H50" s="9" t="s">
        <v>298</v>
      </c>
      <c r="I50" s="9" t="s">
        <v>202</v>
      </c>
      <c r="J50" s="9" t="s">
        <v>202</v>
      </c>
      <c r="K50" s="7" t="s">
        <v>200</v>
      </c>
      <c r="L50" s="25"/>
      <c r="M50" s="25"/>
      <c r="N50" s="25"/>
      <c r="O50" s="25"/>
      <c r="P50" s="25"/>
      <c r="Q50" s="25"/>
      <c r="R50" s="25"/>
      <c r="S50" s="25"/>
      <c r="T50" s="25"/>
      <c r="U50" s="25"/>
      <c r="V50" s="25"/>
      <c r="W50" s="25"/>
      <c r="X50" s="25"/>
      <c r="Y50" s="25"/>
    </row>
    <row r="51" spans="1:25" ht="29.55" customHeight="1" x14ac:dyDescent="0.3">
      <c r="A51" s="25"/>
      <c r="B51" s="7">
        <f t="shared" si="0"/>
        <v>48</v>
      </c>
      <c r="C51" s="7" t="s">
        <v>343</v>
      </c>
      <c r="D51" s="7" t="s">
        <v>209</v>
      </c>
      <c r="E51" s="7"/>
      <c r="F51" s="7"/>
      <c r="G51" s="9" t="s">
        <v>327</v>
      </c>
      <c r="H51" s="9" t="s">
        <v>328</v>
      </c>
      <c r="I51" s="9" t="s">
        <v>200</v>
      </c>
      <c r="J51" s="9" t="s">
        <v>200</v>
      </c>
      <c r="K51" s="7" t="s">
        <v>200</v>
      </c>
      <c r="L51" s="25"/>
      <c r="M51" s="25"/>
      <c r="N51" s="25"/>
      <c r="O51" s="25"/>
      <c r="P51" s="25"/>
      <c r="Q51" s="25"/>
      <c r="R51" s="25"/>
      <c r="S51" s="25"/>
      <c r="T51" s="25"/>
      <c r="U51" s="25"/>
      <c r="V51" s="25"/>
      <c r="W51" s="25"/>
      <c r="X51" s="25"/>
      <c r="Y51" s="25"/>
    </row>
    <row r="52" spans="1:25" ht="28.8" x14ac:dyDescent="0.3">
      <c r="A52" s="25"/>
      <c r="B52" s="7">
        <f t="shared" si="0"/>
        <v>49</v>
      </c>
      <c r="C52" s="7" t="s">
        <v>344</v>
      </c>
      <c r="D52" s="7" t="s">
        <v>209</v>
      </c>
      <c r="E52" s="7"/>
      <c r="F52" s="7"/>
      <c r="G52" s="9" t="s">
        <v>200</v>
      </c>
      <c r="H52" s="9" t="s">
        <v>298</v>
      </c>
      <c r="I52" s="9" t="s">
        <v>200</v>
      </c>
      <c r="J52" s="9" t="s">
        <v>200</v>
      </c>
      <c r="K52" s="7" t="s">
        <v>200</v>
      </c>
      <c r="L52" s="25"/>
      <c r="M52" s="25"/>
      <c r="N52" s="25"/>
      <c r="O52" s="25"/>
      <c r="P52" s="25"/>
      <c r="Q52" s="25"/>
      <c r="R52" s="25"/>
      <c r="S52" s="25"/>
      <c r="T52" s="25"/>
      <c r="U52" s="25"/>
      <c r="V52" s="25"/>
      <c r="W52" s="25"/>
      <c r="X52" s="25"/>
      <c r="Y52" s="25"/>
    </row>
    <row r="53" spans="1:25" ht="28.8" x14ac:dyDescent="0.3">
      <c r="A53" s="25"/>
      <c r="B53" s="7">
        <f t="shared" si="0"/>
        <v>50</v>
      </c>
      <c r="C53" s="7" t="s">
        <v>345</v>
      </c>
      <c r="D53" s="7" t="s">
        <v>209</v>
      </c>
      <c r="E53" s="7"/>
      <c r="F53" s="7"/>
      <c r="G53" s="9" t="s">
        <v>200</v>
      </c>
      <c r="H53" s="9" t="s">
        <v>298</v>
      </c>
      <c r="I53" s="9" t="s">
        <v>200</v>
      </c>
      <c r="J53" s="9" t="s">
        <v>200</v>
      </c>
      <c r="K53" s="7" t="s">
        <v>200</v>
      </c>
      <c r="L53" s="25"/>
      <c r="M53" s="25"/>
      <c r="N53" s="25"/>
      <c r="O53" s="25"/>
      <c r="P53" s="25"/>
      <c r="Q53" s="25"/>
      <c r="R53" s="25"/>
      <c r="S53" s="25"/>
      <c r="T53" s="25"/>
      <c r="U53" s="25"/>
      <c r="V53" s="25"/>
      <c r="W53" s="25"/>
      <c r="X53" s="25"/>
      <c r="Y53" s="25"/>
    </row>
    <row r="54" spans="1:25" ht="29.55" customHeight="1" x14ac:dyDescent="0.3">
      <c r="A54" s="25"/>
      <c r="B54" s="7">
        <f t="shared" si="0"/>
        <v>51</v>
      </c>
      <c r="C54" s="7" t="s">
        <v>346</v>
      </c>
      <c r="D54" s="7" t="s">
        <v>209</v>
      </c>
      <c r="E54" s="7"/>
      <c r="F54" s="7"/>
      <c r="G54" s="9" t="s">
        <v>200</v>
      </c>
      <c r="H54" s="9" t="s">
        <v>298</v>
      </c>
      <c r="I54" s="9" t="s">
        <v>200</v>
      </c>
      <c r="J54" s="9" t="s">
        <v>200</v>
      </c>
      <c r="K54" s="7"/>
      <c r="L54" s="25"/>
      <c r="M54" s="25"/>
      <c r="N54" s="25"/>
      <c r="O54" s="25"/>
      <c r="P54" s="25"/>
      <c r="Q54" s="25"/>
      <c r="R54" s="25"/>
      <c r="S54" s="25"/>
      <c r="T54" s="25"/>
      <c r="U54" s="25"/>
      <c r="V54" s="25"/>
      <c r="W54" s="25"/>
      <c r="X54" s="25"/>
      <c r="Y54" s="25"/>
    </row>
    <row r="55" spans="1:25" ht="28.8" x14ac:dyDescent="0.3">
      <c r="A55" s="25"/>
      <c r="B55" s="7">
        <f>B54+1</f>
        <v>52</v>
      </c>
      <c r="C55" s="7" t="s">
        <v>347</v>
      </c>
      <c r="D55" s="7" t="s">
        <v>210</v>
      </c>
      <c r="E55" s="7"/>
      <c r="F55" s="7"/>
      <c r="G55" s="9" t="s">
        <v>200</v>
      </c>
      <c r="H55" s="9" t="s">
        <v>298</v>
      </c>
      <c r="I55" s="9" t="s">
        <v>200</v>
      </c>
      <c r="J55" s="9" t="s">
        <v>200</v>
      </c>
      <c r="K55" s="7" t="s">
        <v>200</v>
      </c>
      <c r="L55" s="25"/>
      <c r="M55" s="25"/>
      <c r="N55" s="25"/>
      <c r="O55" s="25"/>
      <c r="P55" s="25"/>
      <c r="Q55" s="25"/>
      <c r="R55" s="25"/>
      <c r="S55" s="25"/>
      <c r="T55" s="25"/>
      <c r="U55" s="25"/>
      <c r="V55" s="25"/>
      <c r="W55" s="25"/>
      <c r="X55" s="25"/>
      <c r="Y55" s="25"/>
    </row>
    <row r="56" spans="1:25" ht="28.8" x14ac:dyDescent="0.3">
      <c r="A56" s="25"/>
      <c r="B56" s="7">
        <f t="shared" si="0"/>
        <v>53</v>
      </c>
      <c r="C56" s="7" t="s">
        <v>348</v>
      </c>
      <c r="D56" s="7" t="s">
        <v>210</v>
      </c>
      <c r="E56" s="7"/>
      <c r="F56" s="7"/>
      <c r="G56" s="9" t="s">
        <v>202</v>
      </c>
      <c r="H56" s="9" t="s">
        <v>293</v>
      </c>
      <c r="I56" s="9" t="s">
        <v>202</v>
      </c>
      <c r="J56" s="9" t="s">
        <v>202</v>
      </c>
      <c r="K56" s="7" t="s">
        <v>200</v>
      </c>
      <c r="L56" s="25"/>
      <c r="M56" s="25"/>
      <c r="N56" s="25"/>
      <c r="O56" s="25"/>
      <c r="P56" s="25"/>
      <c r="Q56" s="25"/>
      <c r="R56" s="25"/>
      <c r="S56" s="25"/>
      <c r="T56" s="25"/>
      <c r="U56" s="25"/>
      <c r="V56" s="25"/>
      <c r="W56" s="25"/>
      <c r="X56" s="25"/>
      <c r="Y56" s="25"/>
    </row>
    <row r="57" spans="1:25" ht="28.8" x14ac:dyDescent="0.3">
      <c r="A57" s="25"/>
      <c r="B57" s="7">
        <f t="shared" si="0"/>
        <v>54</v>
      </c>
      <c r="C57" s="7" t="s">
        <v>349</v>
      </c>
      <c r="D57" s="7" t="s">
        <v>210</v>
      </c>
      <c r="E57" s="7"/>
      <c r="F57" s="7"/>
      <c r="G57" s="9" t="s">
        <v>202</v>
      </c>
      <c r="H57" s="9" t="s">
        <v>293</v>
      </c>
      <c r="I57" s="9" t="s">
        <v>200</v>
      </c>
      <c r="J57" s="9" t="s">
        <v>200</v>
      </c>
      <c r="K57" s="7" t="s">
        <v>200</v>
      </c>
      <c r="L57" s="25"/>
      <c r="M57" s="25"/>
      <c r="N57" s="25"/>
      <c r="O57" s="25"/>
      <c r="P57" s="25"/>
      <c r="Q57" s="25"/>
      <c r="R57" s="25"/>
      <c r="S57" s="25"/>
      <c r="T57" s="25"/>
      <c r="U57" s="25"/>
      <c r="V57" s="25"/>
      <c r="W57" s="25"/>
      <c r="X57" s="25"/>
      <c r="Y57" s="25"/>
    </row>
    <row r="58" spans="1:25" ht="28.8" x14ac:dyDescent="0.3">
      <c r="A58" s="25"/>
      <c r="B58" s="7">
        <f t="shared" si="0"/>
        <v>55</v>
      </c>
      <c r="C58" s="7" t="s">
        <v>350</v>
      </c>
      <c r="D58" s="7" t="s">
        <v>210</v>
      </c>
      <c r="E58" s="7"/>
      <c r="F58" s="7"/>
      <c r="G58" s="9" t="s">
        <v>202</v>
      </c>
      <c r="H58" s="9" t="s">
        <v>293</v>
      </c>
      <c r="I58" s="9" t="s">
        <v>200</v>
      </c>
      <c r="J58" s="9" t="s">
        <v>200</v>
      </c>
      <c r="K58" s="7" t="s">
        <v>200</v>
      </c>
      <c r="L58" s="25"/>
      <c r="M58" s="25"/>
      <c r="N58" s="25"/>
      <c r="O58" s="25"/>
      <c r="P58" s="25"/>
      <c r="Q58" s="25"/>
      <c r="R58" s="25"/>
      <c r="S58" s="25"/>
      <c r="T58" s="25"/>
      <c r="U58" s="25"/>
      <c r="V58" s="25"/>
      <c r="W58" s="25"/>
      <c r="X58" s="25"/>
      <c r="Y58" s="25"/>
    </row>
    <row r="59" spans="1:25" ht="28.8" x14ac:dyDescent="0.3">
      <c r="A59" s="25"/>
      <c r="B59" s="7">
        <f t="shared" si="0"/>
        <v>56</v>
      </c>
      <c r="C59" s="7" t="s">
        <v>351</v>
      </c>
      <c r="D59" s="7" t="s">
        <v>206</v>
      </c>
      <c r="E59" s="7"/>
      <c r="F59" s="7"/>
      <c r="G59" s="9" t="s">
        <v>202</v>
      </c>
      <c r="H59" s="9" t="s">
        <v>293</v>
      </c>
      <c r="I59" s="9" t="s">
        <v>202</v>
      </c>
      <c r="J59" s="9" t="s">
        <v>202</v>
      </c>
      <c r="K59" s="7" t="s">
        <v>200</v>
      </c>
      <c r="L59" s="25"/>
      <c r="M59" s="25"/>
      <c r="N59" s="25"/>
      <c r="O59" s="25"/>
      <c r="P59" s="25"/>
      <c r="Q59" s="25"/>
      <c r="R59" s="25"/>
      <c r="S59" s="25"/>
      <c r="T59" s="25"/>
      <c r="U59" s="25"/>
      <c r="V59" s="25"/>
      <c r="W59" s="25"/>
      <c r="X59" s="25"/>
      <c r="Y59" s="25"/>
    </row>
    <row r="60" spans="1:25" ht="28.8" x14ac:dyDescent="0.3">
      <c r="A60" s="25"/>
      <c r="B60" s="7">
        <f t="shared" si="0"/>
        <v>57</v>
      </c>
      <c r="C60" s="7" t="s">
        <v>352</v>
      </c>
      <c r="D60" s="7" t="s">
        <v>211</v>
      </c>
      <c r="E60" s="7"/>
      <c r="F60" s="7"/>
      <c r="G60" s="9" t="s">
        <v>200</v>
      </c>
      <c r="H60" s="9" t="s">
        <v>298</v>
      </c>
      <c r="I60" s="9" t="s">
        <v>319</v>
      </c>
      <c r="J60" s="9" t="s">
        <v>202</v>
      </c>
      <c r="K60" s="7" t="s">
        <v>200</v>
      </c>
      <c r="L60" s="25"/>
      <c r="M60" s="25"/>
      <c r="N60" s="25"/>
      <c r="O60" s="25"/>
      <c r="P60" s="25"/>
      <c r="Q60" s="25"/>
      <c r="R60" s="25"/>
      <c r="S60" s="25"/>
      <c r="T60" s="25"/>
      <c r="U60" s="25"/>
      <c r="V60" s="25"/>
      <c r="W60" s="25"/>
      <c r="X60" s="25"/>
      <c r="Y60" s="25"/>
    </row>
    <row r="61" spans="1:25" ht="28.8" x14ac:dyDescent="0.3">
      <c r="A61" s="25"/>
      <c r="B61" s="7">
        <f t="shared" si="0"/>
        <v>58</v>
      </c>
      <c r="C61" s="7" t="s">
        <v>353</v>
      </c>
      <c r="D61" s="7" t="s">
        <v>206</v>
      </c>
      <c r="E61" s="7"/>
      <c r="F61" s="7"/>
      <c r="G61" s="9" t="s">
        <v>200</v>
      </c>
      <c r="H61" s="9" t="s">
        <v>298</v>
      </c>
      <c r="I61" s="9" t="s">
        <v>202</v>
      </c>
      <c r="J61" s="9" t="s">
        <v>202</v>
      </c>
      <c r="K61" s="7" t="s">
        <v>200</v>
      </c>
      <c r="L61" s="25"/>
      <c r="M61" s="25"/>
      <c r="N61" s="25"/>
      <c r="O61" s="25"/>
      <c r="P61" s="25"/>
      <c r="Q61" s="25"/>
      <c r="R61" s="25"/>
      <c r="S61" s="25"/>
      <c r="T61" s="25"/>
      <c r="U61" s="25"/>
      <c r="V61" s="25"/>
      <c r="W61" s="25"/>
      <c r="X61" s="25"/>
      <c r="Y61" s="25"/>
    </row>
    <row r="62" spans="1:25" ht="28.8" x14ac:dyDescent="0.3">
      <c r="A62" s="25"/>
      <c r="B62" s="7">
        <f t="shared" si="0"/>
        <v>59</v>
      </c>
      <c r="C62" s="7" t="s">
        <v>354</v>
      </c>
      <c r="D62" s="7" t="s">
        <v>206</v>
      </c>
      <c r="E62" s="7"/>
      <c r="F62" s="7"/>
      <c r="G62" s="9" t="s">
        <v>200</v>
      </c>
      <c r="H62" s="9" t="s">
        <v>298</v>
      </c>
      <c r="I62" s="9" t="s">
        <v>319</v>
      </c>
      <c r="J62" s="9" t="s">
        <v>202</v>
      </c>
      <c r="K62" s="7" t="s">
        <v>200</v>
      </c>
      <c r="L62" s="25"/>
      <c r="M62" s="25"/>
      <c r="N62" s="25"/>
      <c r="O62" s="25"/>
      <c r="P62" s="25"/>
      <c r="Q62" s="25"/>
      <c r="R62" s="25"/>
      <c r="S62" s="25"/>
      <c r="T62" s="25"/>
      <c r="U62" s="25"/>
      <c r="V62" s="25"/>
      <c r="W62" s="25"/>
      <c r="X62" s="25"/>
      <c r="Y62" s="25"/>
    </row>
    <row r="63" spans="1:25" ht="28.8" x14ac:dyDescent="0.3">
      <c r="A63" s="25"/>
      <c r="B63" s="7">
        <f t="shared" si="0"/>
        <v>60</v>
      </c>
      <c r="C63" s="7" t="s">
        <v>355</v>
      </c>
      <c r="D63" s="7" t="s">
        <v>206</v>
      </c>
      <c r="E63" s="7"/>
      <c r="F63" s="7"/>
      <c r="G63" s="9" t="s">
        <v>200</v>
      </c>
      <c r="H63" s="9" t="s">
        <v>298</v>
      </c>
      <c r="I63" s="9" t="s">
        <v>202</v>
      </c>
      <c r="J63" s="9" t="s">
        <v>202</v>
      </c>
      <c r="K63" s="7" t="s">
        <v>200</v>
      </c>
      <c r="L63" s="25"/>
      <c r="M63" s="25"/>
      <c r="N63" s="25"/>
      <c r="O63" s="25"/>
      <c r="P63" s="25"/>
      <c r="Q63" s="25"/>
      <c r="R63" s="25"/>
      <c r="S63" s="25"/>
      <c r="T63" s="25"/>
      <c r="U63" s="25"/>
      <c r="V63" s="25"/>
      <c r="W63" s="25"/>
      <c r="X63" s="25"/>
      <c r="Y63" s="25"/>
    </row>
    <row r="64" spans="1:25" ht="28.8" x14ac:dyDescent="0.3">
      <c r="A64" s="25"/>
      <c r="B64" s="7">
        <f t="shared" si="0"/>
        <v>61</v>
      </c>
      <c r="C64" s="7" t="s">
        <v>356</v>
      </c>
      <c r="D64" s="7" t="s">
        <v>206</v>
      </c>
      <c r="E64" s="7"/>
      <c r="F64" s="7"/>
      <c r="G64" s="9" t="s">
        <v>200</v>
      </c>
      <c r="H64" s="9" t="s">
        <v>298</v>
      </c>
      <c r="I64" s="9" t="s">
        <v>319</v>
      </c>
      <c r="J64" s="9" t="s">
        <v>202</v>
      </c>
      <c r="K64" s="7" t="s">
        <v>200</v>
      </c>
      <c r="L64" s="25"/>
      <c r="M64" s="25"/>
      <c r="N64" s="25"/>
      <c r="O64" s="25"/>
      <c r="P64" s="25"/>
      <c r="Q64" s="25"/>
      <c r="R64" s="25"/>
      <c r="S64" s="25"/>
      <c r="T64" s="25"/>
      <c r="U64" s="25"/>
      <c r="V64" s="25"/>
      <c r="W64" s="25"/>
      <c r="X64" s="25"/>
      <c r="Y64" s="25"/>
    </row>
    <row r="65" spans="1:25" ht="28.8" x14ac:dyDescent="0.3">
      <c r="A65" s="25"/>
      <c r="B65" s="7">
        <f t="shared" si="0"/>
        <v>62</v>
      </c>
      <c r="C65" s="7" t="s">
        <v>357</v>
      </c>
      <c r="D65" s="7" t="s">
        <v>206</v>
      </c>
      <c r="E65" s="7"/>
      <c r="F65" s="7"/>
      <c r="G65" s="9" t="s">
        <v>200</v>
      </c>
      <c r="H65" s="9" t="s">
        <v>298</v>
      </c>
      <c r="I65" s="9" t="s">
        <v>319</v>
      </c>
      <c r="J65" s="9" t="s">
        <v>202</v>
      </c>
      <c r="K65" s="7" t="s">
        <v>200</v>
      </c>
      <c r="L65" s="25"/>
      <c r="M65" s="25"/>
      <c r="N65" s="25"/>
      <c r="O65" s="25"/>
      <c r="P65" s="25"/>
      <c r="Q65" s="25"/>
      <c r="R65" s="25"/>
      <c r="S65" s="25"/>
      <c r="T65" s="25"/>
      <c r="U65" s="25"/>
      <c r="V65" s="25"/>
      <c r="W65" s="25"/>
      <c r="X65" s="25"/>
      <c r="Y65" s="25"/>
    </row>
    <row r="66" spans="1:25" ht="28.8" x14ac:dyDescent="0.3">
      <c r="A66" s="25"/>
      <c r="B66" s="7">
        <f t="shared" si="0"/>
        <v>63</v>
      </c>
      <c r="C66" s="7" t="s">
        <v>358</v>
      </c>
      <c r="D66" s="7" t="s">
        <v>206</v>
      </c>
      <c r="E66" s="7"/>
      <c r="F66" s="7"/>
      <c r="G66" s="9" t="s">
        <v>200</v>
      </c>
      <c r="H66" s="9" t="s">
        <v>298</v>
      </c>
      <c r="I66" s="9" t="s">
        <v>319</v>
      </c>
      <c r="J66" s="9" t="s">
        <v>319</v>
      </c>
      <c r="K66" s="7" t="s">
        <v>200</v>
      </c>
      <c r="L66" s="25"/>
      <c r="M66" s="25"/>
      <c r="N66" s="25"/>
      <c r="O66" s="25"/>
      <c r="P66" s="25"/>
      <c r="Q66" s="25"/>
      <c r="R66" s="25"/>
      <c r="S66" s="25"/>
      <c r="T66" s="25"/>
      <c r="U66" s="25"/>
      <c r="V66" s="25"/>
      <c r="W66" s="25"/>
      <c r="X66" s="25"/>
      <c r="Y66" s="25"/>
    </row>
    <row r="67" spans="1:25" ht="28.8" x14ac:dyDescent="0.3">
      <c r="A67" s="25"/>
      <c r="B67" s="7">
        <f t="shared" si="0"/>
        <v>64</v>
      </c>
      <c r="C67" s="7" t="s">
        <v>359</v>
      </c>
      <c r="D67" s="7" t="s">
        <v>206</v>
      </c>
      <c r="E67" s="7"/>
      <c r="F67" s="7"/>
      <c r="G67" s="9" t="s">
        <v>200</v>
      </c>
      <c r="H67" s="9" t="s">
        <v>298</v>
      </c>
      <c r="I67" s="9" t="s">
        <v>319</v>
      </c>
      <c r="J67" s="9" t="s">
        <v>202</v>
      </c>
      <c r="K67" s="7" t="s">
        <v>200</v>
      </c>
      <c r="L67" s="25"/>
      <c r="M67" s="25"/>
      <c r="N67" s="25"/>
      <c r="O67" s="25"/>
      <c r="P67" s="25"/>
      <c r="Q67" s="25"/>
      <c r="R67" s="25"/>
      <c r="S67" s="25"/>
      <c r="T67" s="25"/>
      <c r="U67" s="25"/>
      <c r="V67" s="25"/>
      <c r="W67" s="25"/>
      <c r="X67" s="25"/>
      <c r="Y67" s="25"/>
    </row>
    <row r="68" spans="1:25" ht="28.8" x14ac:dyDescent="0.3">
      <c r="A68" s="25"/>
      <c r="B68" s="7">
        <f t="shared" si="0"/>
        <v>65</v>
      </c>
      <c r="C68" s="7" t="s">
        <v>360</v>
      </c>
      <c r="D68" s="7" t="s">
        <v>206</v>
      </c>
      <c r="E68" s="7"/>
      <c r="F68" s="7"/>
      <c r="G68" s="9" t="s">
        <v>202</v>
      </c>
      <c r="H68" s="9" t="s">
        <v>293</v>
      </c>
      <c r="I68" s="9" t="s">
        <v>202</v>
      </c>
      <c r="J68" s="9" t="s">
        <v>202</v>
      </c>
      <c r="K68" s="7" t="s">
        <v>200</v>
      </c>
      <c r="L68" s="25"/>
      <c r="M68" s="25"/>
      <c r="N68" s="25"/>
      <c r="O68" s="25"/>
      <c r="P68" s="25"/>
      <c r="Q68" s="25"/>
      <c r="R68" s="25"/>
      <c r="S68" s="25"/>
      <c r="T68" s="25"/>
      <c r="U68" s="25"/>
      <c r="V68" s="25"/>
      <c r="W68" s="25"/>
      <c r="X68" s="25"/>
      <c r="Y68" s="25"/>
    </row>
    <row r="69" spans="1:25" ht="28.8" x14ac:dyDescent="0.3">
      <c r="A69" s="25"/>
      <c r="B69" s="7">
        <f t="shared" si="0"/>
        <v>66</v>
      </c>
      <c r="C69" s="7" t="s">
        <v>361</v>
      </c>
      <c r="D69" s="9" t="s">
        <v>205</v>
      </c>
      <c r="E69" s="7"/>
      <c r="F69" s="7"/>
      <c r="G69" s="9" t="s">
        <v>200</v>
      </c>
      <c r="H69" s="9" t="s">
        <v>298</v>
      </c>
      <c r="I69" s="9" t="s">
        <v>202</v>
      </c>
      <c r="J69" s="9" t="s">
        <v>202</v>
      </c>
      <c r="K69" s="7" t="s">
        <v>200</v>
      </c>
      <c r="L69" s="25"/>
      <c r="M69" s="25"/>
      <c r="N69" s="25"/>
      <c r="O69" s="25"/>
      <c r="P69" s="25"/>
      <c r="Q69" s="25"/>
      <c r="R69" s="25"/>
      <c r="S69" s="25"/>
      <c r="T69" s="25"/>
      <c r="U69" s="25"/>
      <c r="V69" s="25"/>
      <c r="W69" s="25"/>
      <c r="X69" s="25"/>
      <c r="Y69" s="25"/>
    </row>
    <row r="70" spans="1:25" ht="28.8" x14ac:dyDescent="0.3">
      <c r="A70" s="25"/>
      <c r="B70" s="7">
        <f t="shared" si="0"/>
        <v>67</v>
      </c>
      <c r="C70" s="7" t="s">
        <v>362</v>
      </c>
      <c r="D70" s="9" t="s">
        <v>205</v>
      </c>
      <c r="E70" s="7"/>
      <c r="F70" s="7"/>
      <c r="G70" s="9" t="s">
        <v>200</v>
      </c>
      <c r="H70" s="9" t="s">
        <v>298</v>
      </c>
      <c r="I70" s="9" t="s">
        <v>202</v>
      </c>
      <c r="J70" s="9" t="s">
        <v>202</v>
      </c>
      <c r="K70" s="7" t="s">
        <v>200</v>
      </c>
      <c r="L70" s="25"/>
      <c r="M70" s="25"/>
      <c r="N70" s="25"/>
      <c r="O70" s="25"/>
      <c r="P70" s="25"/>
      <c r="Q70" s="25"/>
      <c r="R70" s="25"/>
      <c r="S70" s="25"/>
      <c r="T70" s="25"/>
      <c r="U70" s="25"/>
      <c r="V70" s="25"/>
      <c r="W70" s="25"/>
      <c r="X70" s="25"/>
      <c r="Y70" s="25"/>
    </row>
    <row r="71" spans="1:25" ht="29.4" thickBot="1" x14ac:dyDescent="0.35">
      <c r="A71" s="25"/>
      <c r="B71" s="229">
        <f t="shared" si="0"/>
        <v>68</v>
      </c>
      <c r="C71" s="229" t="s">
        <v>363</v>
      </c>
      <c r="D71" s="242" t="s">
        <v>205</v>
      </c>
      <c r="E71" s="229"/>
      <c r="F71" s="229"/>
      <c r="G71" s="242" t="s">
        <v>202</v>
      </c>
      <c r="H71" s="242" t="s">
        <v>293</v>
      </c>
      <c r="I71" s="242" t="s">
        <v>202</v>
      </c>
      <c r="J71" s="242" t="s">
        <v>202</v>
      </c>
      <c r="K71" s="7" t="s">
        <v>200</v>
      </c>
      <c r="L71" s="25"/>
      <c r="M71" s="25"/>
      <c r="N71" s="25"/>
      <c r="O71" s="25"/>
      <c r="P71" s="25"/>
      <c r="Q71" s="25"/>
      <c r="R71" s="25"/>
      <c r="S71" s="25"/>
      <c r="T71" s="25"/>
      <c r="U71" s="25"/>
      <c r="V71" s="25"/>
      <c r="W71" s="25"/>
      <c r="X71" s="25"/>
      <c r="Y71" s="25"/>
    </row>
    <row r="72" spans="1:25" ht="28.8" x14ac:dyDescent="0.3">
      <c r="A72" s="25"/>
      <c r="B72" s="221">
        <f t="shared" si="0"/>
        <v>69</v>
      </c>
      <c r="C72" s="221" t="s">
        <v>230</v>
      </c>
      <c r="D72" s="221" t="s">
        <v>223</v>
      </c>
      <c r="E72" s="221"/>
      <c r="F72" s="221"/>
      <c r="G72" s="386" t="s">
        <v>202</v>
      </c>
      <c r="H72" s="386" t="s">
        <v>298</v>
      </c>
      <c r="I72" s="386" t="s">
        <v>200</v>
      </c>
      <c r="J72" s="386" t="s">
        <v>200</v>
      </c>
      <c r="K72" s="7" t="s">
        <v>200</v>
      </c>
      <c r="L72" s="25"/>
      <c r="M72" s="25"/>
      <c r="N72" s="25"/>
      <c r="O72" s="25"/>
      <c r="P72" s="25"/>
      <c r="Q72" s="25"/>
      <c r="R72" s="25"/>
      <c r="S72" s="25"/>
      <c r="T72" s="25"/>
      <c r="U72" s="25"/>
      <c r="V72" s="25"/>
      <c r="W72" s="25"/>
      <c r="X72" s="25"/>
      <c r="Y72" s="25"/>
    </row>
    <row r="73" spans="1:25" ht="28.8" x14ac:dyDescent="0.3">
      <c r="A73" s="25"/>
      <c r="B73" s="7">
        <f t="shared" si="0"/>
        <v>70</v>
      </c>
      <c r="C73" s="7" t="s">
        <v>231</v>
      </c>
      <c r="D73" s="7" t="s">
        <v>223</v>
      </c>
      <c r="E73" s="7"/>
      <c r="F73" s="7"/>
      <c r="G73" s="9" t="s">
        <v>202</v>
      </c>
      <c r="H73" s="9" t="s">
        <v>298</v>
      </c>
      <c r="I73" s="9" t="s">
        <v>200</v>
      </c>
      <c r="J73" s="9" t="s">
        <v>200</v>
      </c>
      <c r="K73" s="7" t="s">
        <v>200</v>
      </c>
      <c r="L73" s="25"/>
      <c r="M73" s="25"/>
      <c r="N73" s="25"/>
      <c r="O73" s="25"/>
      <c r="P73" s="25"/>
      <c r="Q73" s="25"/>
      <c r="R73" s="25"/>
      <c r="S73" s="25"/>
      <c r="T73" s="25"/>
      <c r="U73" s="25"/>
      <c r="V73" s="25"/>
      <c r="W73" s="25"/>
      <c r="X73" s="25"/>
      <c r="Y73" s="25"/>
    </row>
    <row r="74" spans="1:25" ht="28.8" x14ac:dyDescent="0.3">
      <c r="A74" s="25"/>
      <c r="B74" s="7">
        <f t="shared" si="0"/>
        <v>71</v>
      </c>
      <c r="C74" s="7" t="s">
        <v>232</v>
      </c>
      <c r="D74" s="7" t="s">
        <v>223</v>
      </c>
      <c r="E74" s="7"/>
      <c r="F74" s="7"/>
      <c r="G74" s="9" t="s">
        <v>202</v>
      </c>
      <c r="H74" s="9" t="s">
        <v>298</v>
      </c>
      <c r="I74" s="9" t="s">
        <v>200</v>
      </c>
      <c r="J74" s="9" t="s">
        <v>200</v>
      </c>
      <c r="K74" s="7" t="s">
        <v>200</v>
      </c>
      <c r="L74" s="25"/>
      <c r="M74" s="25"/>
      <c r="N74" s="25"/>
      <c r="O74" s="25"/>
      <c r="P74" s="25"/>
      <c r="Q74" s="25"/>
      <c r="R74" s="25"/>
      <c r="S74" s="25"/>
      <c r="T74" s="25"/>
      <c r="U74" s="25"/>
      <c r="V74" s="25"/>
      <c r="W74" s="25"/>
      <c r="X74" s="25"/>
      <c r="Y74" s="25"/>
    </row>
    <row r="75" spans="1:25" ht="28.8" x14ac:dyDescent="0.3">
      <c r="A75" s="25"/>
      <c r="B75" s="7">
        <f t="shared" si="0"/>
        <v>72</v>
      </c>
      <c r="C75" s="7" t="s">
        <v>236</v>
      </c>
      <c r="D75" s="7" t="s">
        <v>223</v>
      </c>
      <c r="E75" s="7"/>
      <c r="F75" s="7"/>
      <c r="G75" s="9" t="s">
        <v>200</v>
      </c>
      <c r="H75" s="9" t="s">
        <v>298</v>
      </c>
      <c r="I75" s="9" t="s">
        <v>200</v>
      </c>
      <c r="J75" s="9" t="s">
        <v>200</v>
      </c>
      <c r="K75" s="7" t="s">
        <v>200</v>
      </c>
      <c r="L75" s="25"/>
      <c r="M75" s="25"/>
      <c r="N75" s="25"/>
      <c r="O75" s="25"/>
      <c r="P75" s="25"/>
      <c r="Q75" s="25"/>
      <c r="R75" s="25"/>
      <c r="S75" s="25"/>
      <c r="T75" s="25"/>
      <c r="U75" s="25"/>
      <c r="V75" s="25"/>
      <c r="W75" s="25"/>
      <c r="X75" s="25"/>
      <c r="Y75" s="25"/>
    </row>
    <row r="76" spans="1:25" ht="29.55" customHeight="1" x14ac:dyDescent="0.3">
      <c r="A76" s="25"/>
      <c r="B76" s="7">
        <f t="shared" si="0"/>
        <v>73</v>
      </c>
      <c r="C76" s="7" t="s">
        <v>240</v>
      </c>
      <c r="D76" s="7" t="s">
        <v>223</v>
      </c>
      <c r="E76" s="7"/>
      <c r="F76" s="7"/>
      <c r="G76" s="9" t="s">
        <v>327</v>
      </c>
      <c r="H76" s="9" t="s">
        <v>328</v>
      </c>
      <c r="I76" s="9" t="s">
        <v>200</v>
      </c>
      <c r="J76" s="9" t="s">
        <v>200</v>
      </c>
      <c r="K76" s="7" t="s">
        <v>200</v>
      </c>
      <c r="L76" s="25"/>
      <c r="M76" s="25"/>
      <c r="N76" s="25"/>
      <c r="O76" s="25"/>
      <c r="P76" s="25"/>
      <c r="Q76" s="25"/>
      <c r="R76" s="25"/>
      <c r="S76" s="25"/>
      <c r="T76" s="25"/>
      <c r="U76" s="25"/>
      <c r="V76" s="25"/>
      <c r="W76" s="25"/>
      <c r="X76" s="25"/>
      <c r="Y76" s="25"/>
    </row>
    <row r="77" spans="1:25" ht="28.8" x14ac:dyDescent="0.3">
      <c r="A77" s="25"/>
      <c r="B77" s="7">
        <f t="shared" ref="B77:B102" si="1">B76+1</f>
        <v>74</v>
      </c>
      <c r="C77" s="7" t="s">
        <v>237</v>
      </c>
      <c r="D77" s="7" t="s">
        <v>223</v>
      </c>
      <c r="E77" s="7"/>
      <c r="F77" s="7"/>
      <c r="G77" s="9" t="s">
        <v>200</v>
      </c>
      <c r="H77" s="9" t="s">
        <v>298</v>
      </c>
      <c r="I77" s="9" t="s">
        <v>200</v>
      </c>
      <c r="J77" s="9" t="s">
        <v>200</v>
      </c>
      <c r="K77" s="7" t="s">
        <v>200</v>
      </c>
      <c r="L77" s="25"/>
      <c r="M77" s="25"/>
      <c r="N77" s="25"/>
      <c r="O77" s="25"/>
      <c r="P77" s="25"/>
      <c r="Q77" s="25"/>
      <c r="R77" s="25"/>
      <c r="S77" s="25"/>
      <c r="T77" s="25"/>
      <c r="U77" s="25"/>
      <c r="V77" s="25"/>
      <c r="W77" s="25"/>
      <c r="X77" s="25"/>
      <c r="Y77" s="25"/>
    </row>
    <row r="78" spans="1:25" ht="28.8" x14ac:dyDescent="0.3">
      <c r="A78" s="25"/>
      <c r="B78" s="7">
        <f t="shared" si="1"/>
        <v>75</v>
      </c>
      <c r="C78" s="7" t="s">
        <v>233</v>
      </c>
      <c r="D78" s="7" t="s">
        <v>223</v>
      </c>
      <c r="E78" s="7"/>
      <c r="F78" s="7"/>
      <c r="G78" s="9" t="s">
        <v>202</v>
      </c>
      <c r="H78" s="9" t="s">
        <v>298</v>
      </c>
      <c r="I78" s="9" t="s">
        <v>200</v>
      </c>
      <c r="J78" s="9" t="s">
        <v>200</v>
      </c>
      <c r="K78" s="7" t="s">
        <v>200</v>
      </c>
      <c r="L78" s="25"/>
      <c r="M78" s="25"/>
      <c r="N78" s="25"/>
      <c r="O78" s="25"/>
      <c r="P78" s="25"/>
      <c r="Q78" s="25"/>
      <c r="R78" s="25"/>
      <c r="S78" s="25"/>
      <c r="T78" s="25"/>
      <c r="U78" s="25"/>
      <c r="V78" s="25"/>
      <c r="W78" s="25"/>
      <c r="X78" s="25"/>
      <c r="Y78" s="25"/>
    </row>
    <row r="79" spans="1:25" ht="28.8" x14ac:dyDescent="0.3">
      <c r="A79" s="25"/>
      <c r="B79" s="7">
        <f t="shared" si="1"/>
        <v>76</v>
      </c>
      <c r="C79" s="7" t="s">
        <v>238</v>
      </c>
      <c r="D79" s="7" t="s">
        <v>223</v>
      </c>
      <c r="E79" s="7"/>
      <c r="F79" s="7"/>
      <c r="G79" s="9" t="s">
        <v>200</v>
      </c>
      <c r="H79" s="9" t="s">
        <v>298</v>
      </c>
      <c r="I79" s="9" t="s">
        <v>200</v>
      </c>
      <c r="J79" s="9" t="s">
        <v>200</v>
      </c>
      <c r="K79" s="7" t="s">
        <v>200</v>
      </c>
      <c r="L79" s="25"/>
      <c r="M79" s="25"/>
      <c r="N79" s="25"/>
      <c r="O79" s="25"/>
      <c r="P79" s="25"/>
      <c r="Q79" s="25"/>
      <c r="R79" s="25"/>
      <c r="S79" s="25"/>
      <c r="T79" s="25"/>
      <c r="U79" s="25"/>
      <c r="V79" s="25"/>
      <c r="W79" s="25"/>
      <c r="X79" s="25"/>
      <c r="Y79" s="25"/>
    </row>
    <row r="80" spans="1:25" ht="29.4" thickBot="1" x14ac:dyDescent="0.35">
      <c r="A80" s="25"/>
      <c r="B80" s="229">
        <f t="shared" si="1"/>
        <v>77</v>
      </c>
      <c r="C80" s="229" t="s">
        <v>234</v>
      </c>
      <c r="D80" s="229" t="s">
        <v>223</v>
      </c>
      <c r="E80" s="229"/>
      <c r="F80" s="229"/>
      <c r="G80" s="242" t="s">
        <v>202</v>
      </c>
      <c r="H80" s="242" t="s">
        <v>298</v>
      </c>
      <c r="I80" s="242" t="s">
        <v>200</v>
      </c>
      <c r="J80" s="242" t="s">
        <v>200</v>
      </c>
      <c r="K80" s="7" t="s">
        <v>200</v>
      </c>
      <c r="L80" s="25"/>
      <c r="M80" s="25"/>
      <c r="N80" s="25"/>
      <c r="O80" s="25"/>
      <c r="P80" s="25"/>
      <c r="Q80" s="25"/>
      <c r="R80" s="25"/>
      <c r="S80" s="25"/>
      <c r="T80" s="25"/>
      <c r="U80" s="25"/>
      <c r="V80" s="25"/>
      <c r="W80" s="25"/>
      <c r="X80" s="25"/>
      <c r="Y80" s="25"/>
    </row>
    <row r="81" spans="1:25" x14ac:dyDescent="0.3">
      <c r="A81" s="25"/>
      <c r="B81" s="257">
        <f t="shared" si="1"/>
        <v>78</v>
      </c>
      <c r="C81" s="257" t="s">
        <v>257</v>
      </c>
      <c r="D81" s="257" t="s">
        <v>364</v>
      </c>
      <c r="E81" s="257"/>
      <c r="F81" s="257"/>
      <c r="G81" s="257" t="s">
        <v>202</v>
      </c>
      <c r="H81" s="548" t="s">
        <v>365</v>
      </c>
      <c r="I81" s="257" t="s">
        <v>202</v>
      </c>
      <c r="J81" s="239" t="s">
        <v>200</v>
      </c>
      <c r="K81" s="7" t="s">
        <v>200</v>
      </c>
      <c r="L81" s="25"/>
      <c r="M81" s="25"/>
      <c r="N81" s="25"/>
      <c r="O81" s="25"/>
      <c r="P81" s="25"/>
      <c r="Q81" s="25"/>
      <c r="R81" s="25"/>
      <c r="S81" s="25"/>
      <c r="T81" s="25"/>
      <c r="U81" s="25"/>
      <c r="V81" s="25"/>
      <c r="W81" s="25"/>
      <c r="X81" s="25"/>
      <c r="Y81" s="25"/>
    </row>
    <row r="82" spans="1:25" x14ac:dyDescent="0.3">
      <c r="A82" s="25"/>
      <c r="B82" s="7">
        <f t="shared" si="1"/>
        <v>79</v>
      </c>
      <c r="C82" s="7" t="s">
        <v>256</v>
      </c>
      <c r="D82" s="7" t="s">
        <v>364</v>
      </c>
      <c r="E82" s="7"/>
      <c r="F82" s="7"/>
      <c r="G82" s="7" t="s">
        <v>202</v>
      </c>
      <c r="H82" s="9" t="s">
        <v>365</v>
      </c>
      <c r="I82" s="7" t="s">
        <v>202</v>
      </c>
      <c r="J82" s="9" t="s">
        <v>200</v>
      </c>
      <c r="K82" s="7" t="s">
        <v>200</v>
      </c>
      <c r="L82" s="25"/>
      <c r="M82" s="25"/>
      <c r="N82" s="25"/>
      <c r="O82" s="25"/>
      <c r="P82" s="25"/>
      <c r="Q82" s="25"/>
      <c r="R82" s="25"/>
      <c r="S82" s="25"/>
      <c r="T82" s="25"/>
      <c r="U82" s="25"/>
      <c r="V82" s="25"/>
      <c r="W82" s="25"/>
      <c r="X82" s="25"/>
      <c r="Y82" s="25"/>
    </row>
    <row r="83" spans="1:25" ht="31.05" customHeight="1" thickBot="1" x14ac:dyDescent="0.35">
      <c r="A83" s="25"/>
      <c r="B83" s="229">
        <f t="shared" si="1"/>
        <v>80</v>
      </c>
      <c r="C83" s="229" t="s">
        <v>258</v>
      </c>
      <c r="D83" s="229" t="s">
        <v>364</v>
      </c>
      <c r="E83" s="229"/>
      <c r="F83" s="229"/>
      <c r="G83" s="229" t="s">
        <v>200</v>
      </c>
      <c r="H83" s="549" t="s">
        <v>366</v>
      </c>
      <c r="I83" s="229" t="s">
        <v>202</v>
      </c>
      <c r="J83" s="242" t="s">
        <v>367</v>
      </c>
      <c r="K83" s="7" t="s">
        <v>200</v>
      </c>
      <c r="L83" s="25"/>
      <c r="M83" s="25"/>
      <c r="N83" s="25"/>
      <c r="O83" s="25"/>
      <c r="P83" s="25"/>
      <c r="Q83" s="25"/>
      <c r="R83" s="25"/>
      <c r="S83" s="25"/>
      <c r="T83" s="25"/>
      <c r="U83" s="25"/>
      <c r="V83" s="25"/>
      <c r="W83" s="25"/>
      <c r="X83" s="25"/>
      <c r="Y83" s="25"/>
    </row>
    <row r="84" spans="1:25" x14ac:dyDescent="0.3">
      <c r="A84" s="25"/>
      <c r="B84" s="221">
        <f t="shared" si="1"/>
        <v>81</v>
      </c>
      <c r="C84" s="221"/>
      <c r="D84" s="221"/>
      <c r="E84" s="547"/>
      <c r="F84" s="547"/>
      <c r="G84" s="221"/>
      <c r="H84" s="386"/>
      <c r="I84" s="547"/>
      <c r="J84" s="547"/>
      <c r="K84" s="7" t="s">
        <v>200</v>
      </c>
      <c r="L84" s="25"/>
      <c r="M84" s="25"/>
      <c r="N84" s="25"/>
      <c r="O84" s="25"/>
      <c r="P84" s="25"/>
      <c r="Q84" s="25"/>
      <c r="R84" s="25"/>
      <c r="S84" s="25"/>
      <c r="T84" s="25"/>
      <c r="U84" s="25"/>
      <c r="V84" s="25"/>
      <c r="W84" s="25"/>
      <c r="X84" s="25"/>
      <c r="Y84" s="25"/>
    </row>
    <row r="85" spans="1:25" x14ac:dyDescent="0.3">
      <c r="A85" s="25"/>
      <c r="B85" s="7">
        <f t="shared" si="1"/>
        <v>82</v>
      </c>
      <c r="C85" s="17"/>
      <c r="D85" s="7"/>
      <c r="E85" s="17"/>
      <c r="F85" s="17"/>
      <c r="G85" s="7"/>
      <c r="H85" s="9"/>
      <c r="I85" s="17"/>
      <c r="J85" s="17"/>
      <c r="K85" s="7"/>
      <c r="L85" s="25"/>
      <c r="M85" s="25"/>
      <c r="N85" s="25"/>
      <c r="O85" s="25"/>
      <c r="P85" s="25"/>
      <c r="Q85" s="25"/>
      <c r="R85" s="25"/>
      <c r="S85" s="25"/>
      <c r="T85" s="25"/>
      <c r="U85" s="25"/>
      <c r="V85" s="25"/>
      <c r="W85" s="25"/>
      <c r="X85" s="25"/>
      <c r="Y85" s="25"/>
    </row>
    <row r="86" spans="1:25" x14ac:dyDescent="0.3">
      <c r="A86" s="25"/>
      <c r="B86" s="7">
        <f t="shared" si="1"/>
        <v>83</v>
      </c>
      <c r="C86" s="17"/>
      <c r="D86" s="7"/>
      <c r="E86" s="17"/>
      <c r="F86" s="17"/>
      <c r="G86" s="7"/>
      <c r="H86" s="9"/>
      <c r="I86" s="17"/>
      <c r="J86" s="17"/>
      <c r="K86" s="7"/>
      <c r="L86" s="25"/>
      <c r="M86" s="25"/>
      <c r="N86" s="25"/>
      <c r="O86" s="25"/>
      <c r="P86" s="25"/>
      <c r="Q86" s="25"/>
      <c r="R86" s="25"/>
      <c r="S86" s="25"/>
      <c r="T86" s="25"/>
      <c r="U86" s="25"/>
      <c r="V86" s="25"/>
      <c r="W86" s="25"/>
      <c r="X86" s="25"/>
      <c r="Y86" s="25"/>
    </row>
    <row r="87" spans="1:25" x14ac:dyDescent="0.3">
      <c r="A87" s="25"/>
      <c r="B87" s="7">
        <f t="shared" si="1"/>
        <v>84</v>
      </c>
      <c r="C87" s="17"/>
      <c r="D87" s="7"/>
      <c r="E87" s="17"/>
      <c r="F87" s="17"/>
      <c r="G87" s="7"/>
      <c r="H87" s="9"/>
      <c r="I87" s="17"/>
      <c r="J87" s="17"/>
      <c r="K87" s="7"/>
      <c r="L87" s="25"/>
      <c r="M87" s="25"/>
      <c r="N87" s="25"/>
      <c r="O87" s="25"/>
      <c r="P87" s="25"/>
      <c r="Q87" s="25"/>
      <c r="R87" s="25"/>
      <c r="S87" s="25"/>
      <c r="T87" s="25"/>
      <c r="U87" s="25"/>
      <c r="V87" s="25"/>
      <c r="W87" s="25"/>
      <c r="X87" s="25"/>
      <c r="Y87" s="25"/>
    </row>
    <row r="88" spans="1:25" x14ac:dyDescent="0.3">
      <c r="A88" s="25"/>
      <c r="B88" s="7">
        <f t="shared" si="1"/>
        <v>85</v>
      </c>
      <c r="C88" s="17"/>
      <c r="D88" s="7"/>
      <c r="E88" s="17"/>
      <c r="F88" s="17"/>
      <c r="G88" s="7"/>
      <c r="H88" s="9"/>
      <c r="I88" s="17"/>
      <c r="J88" s="17"/>
      <c r="K88" s="7"/>
      <c r="L88" s="25"/>
      <c r="M88" s="25"/>
      <c r="N88" s="25"/>
      <c r="O88" s="25"/>
      <c r="P88" s="25"/>
      <c r="Q88" s="25"/>
      <c r="R88" s="25"/>
      <c r="S88" s="25"/>
      <c r="T88" s="25"/>
      <c r="U88" s="25"/>
      <c r="V88" s="25"/>
      <c r="W88" s="25"/>
      <c r="X88" s="25"/>
      <c r="Y88" s="25"/>
    </row>
    <row r="89" spans="1:25" x14ac:dyDescent="0.3">
      <c r="A89" s="25"/>
      <c r="B89" s="7">
        <f t="shared" si="1"/>
        <v>86</v>
      </c>
      <c r="C89" s="17"/>
      <c r="D89" s="7"/>
      <c r="E89" s="17"/>
      <c r="F89" s="17"/>
      <c r="G89" s="7"/>
      <c r="H89" s="9"/>
      <c r="I89" s="17"/>
      <c r="J89" s="17"/>
      <c r="K89" s="7"/>
      <c r="L89" s="25"/>
      <c r="M89" s="25"/>
      <c r="N89" s="25"/>
      <c r="O89" s="25"/>
      <c r="P89" s="25"/>
      <c r="Q89" s="25"/>
      <c r="R89" s="25"/>
      <c r="S89" s="25"/>
      <c r="T89" s="25"/>
      <c r="U89" s="25"/>
      <c r="V89" s="25"/>
      <c r="W89" s="25"/>
      <c r="X89" s="25"/>
      <c r="Y89" s="25"/>
    </row>
    <row r="90" spans="1:25" x14ac:dyDescent="0.3">
      <c r="A90" s="25"/>
      <c r="B90" s="7">
        <f t="shared" si="1"/>
        <v>87</v>
      </c>
      <c r="C90" s="17"/>
      <c r="D90" s="7"/>
      <c r="E90" s="17"/>
      <c r="F90" s="17"/>
      <c r="G90" s="7"/>
      <c r="H90" s="9"/>
      <c r="I90" s="17"/>
      <c r="J90" s="17"/>
      <c r="K90" s="7"/>
      <c r="L90" s="25"/>
      <c r="M90" s="25"/>
      <c r="N90" s="25"/>
      <c r="O90" s="25"/>
      <c r="P90" s="25"/>
      <c r="Q90" s="25"/>
      <c r="R90" s="25"/>
      <c r="S90" s="25"/>
      <c r="T90" s="25"/>
      <c r="U90" s="25"/>
      <c r="V90" s="25"/>
      <c r="W90" s="25"/>
      <c r="X90" s="25"/>
      <c r="Y90" s="25"/>
    </row>
    <row r="91" spans="1:25" x14ac:dyDescent="0.3">
      <c r="A91" s="25"/>
      <c r="B91" s="7">
        <f t="shared" si="1"/>
        <v>88</v>
      </c>
      <c r="C91" s="17"/>
      <c r="D91" s="7"/>
      <c r="E91" s="17"/>
      <c r="F91" s="17"/>
      <c r="G91" s="7"/>
      <c r="H91" s="9"/>
      <c r="I91" s="17"/>
      <c r="J91" s="17"/>
      <c r="K91" s="7"/>
      <c r="L91" s="25"/>
      <c r="M91" s="25"/>
      <c r="N91" s="25"/>
      <c r="O91" s="25"/>
      <c r="P91" s="25"/>
      <c r="Q91" s="25"/>
      <c r="R91" s="25"/>
      <c r="S91" s="25"/>
      <c r="T91" s="25"/>
      <c r="U91" s="25"/>
      <c r="V91" s="25"/>
      <c r="W91" s="25"/>
      <c r="X91" s="25"/>
      <c r="Y91" s="25"/>
    </row>
    <row r="92" spans="1:25" x14ac:dyDescent="0.3">
      <c r="A92" s="25"/>
      <c r="B92" s="7">
        <f t="shared" si="1"/>
        <v>89</v>
      </c>
      <c r="C92" s="17"/>
      <c r="D92" s="7"/>
      <c r="E92" s="17"/>
      <c r="F92" s="17"/>
      <c r="G92" s="7"/>
      <c r="H92" s="9"/>
      <c r="I92" s="17"/>
      <c r="J92" s="17"/>
      <c r="K92" s="7"/>
      <c r="L92" s="25"/>
      <c r="M92" s="25"/>
      <c r="N92" s="25"/>
      <c r="O92" s="25"/>
      <c r="P92" s="25"/>
      <c r="Q92" s="25"/>
      <c r="R92" s="25"/>
      <c r="S92" s="25"/>
      <c r="T92" s="25"/>
      <c r="U92" s="25"/>
      <c r="V92" s="25"/>
      <c r="W92" s="25"/>
      <c r="X92" s="25"/>
      <c r="Y92" s="25"/>
    </row>
    <row r="93" spans="1:25" x14ac:dyDescent="0.3">
      <c r="A93" s="25"/>
      <c r="B93" s="7">
        <f t="shared" si="1"/>
        <v>90</v>
      </c>
      <c r="C93" s="17"/>
      <c r="D93" s="7"/>
      <c r="E93" s="17"/>
      <c r="F93" s="17"/>
      <c r="G93" s="7"/>
      <c r="H93" s="9"/>
      <c r="I93" s="17"/>
      <c r="J93" s="17"/>
      <c r="K93" s="7"/>
      <c r="L93" s="25"/>
      <c r="M93" s="25"/>
      <c r="N93" s="25"/>
      <c r="O93" s="25"/>
      <c r="P93" s="25"/>
      <c r="Q93" s="25"/>
      <c r="R93" s="25"/>
      <c r="S93" s="25"/>
      <c r="T93" s="25"/>
      <c r="U93" s="25"/>
      <c r="V93" s="25"/>
      <c r="W93" s="25"/>
      <c r="X93" s="25"/>
      <c r="Y93" s="25"/>
    </row>
    <row r="94" spans="1:25" x14ac:dyDescent="0.3">
      <c r="A94" s="25"/>
      <c r="B94" s="7">
        <f t="shared" si="1"/>
        <v>91</v>
      </c>
      <c r="C94" s="17"/>
      <c r="D94" s="7"/>
      <c r="E94" s="17"/>
      <c r="F94" s="17"/>
      <c r="G94" s="7"/>
      <c r="H94" s="9"/>
      <c r="I94" s="17"/>
      <c r="J94" s="17"/>
      <c r="K94" s="7"/>
      <c r="L94" s="25"/>
      <c r="M94" s="25"/>
      <c r="N94" s="25"/>
      <c r="O94" s="25"/>
      <c r="P94" s="25"/>
      <c r="Q94" s="25"/>
      <c r="R94" s="25"/>
      <c r="S94" s="25"/>
      <c r="T94" s="25"/>
      <c r="U94" s="25"/>
      <c r="V94" s="25"/>
      <c r="W94" s="25"/>
      <c r="X94" s="25"/>
      <c r="Y94" s="25"/>
    </row>
    <row r="95" spans="1:25" x14ac:dyDescent="0.3">
      <c r="A95" s="25"/>
      <c r="B95" s="7">
        <f t="shared" si="1"/>
        <v>92</v>
      </c>
      <c r="C95" s="17"/>
      <c r="D95" s="7"/>
      <c r="E95" s="17"/>
      <c r="F95" s="17"/>
      <c r="G95" s="7"/>
      <c r="H95" s="9"/>
      <c r="I95" s="17"/>
      <c r="J95" s="17"/>
      <c r="K95" s="7"/>
      <c r="L95" s="25"/>
      <c r="M95" s="25"/>
      <c r="N95" s="25"/>
      <c r="O95" s="25"/>
      <c r="P95" s="25"/>
      <c r="Q95" s="25"/>
      <c r="R95" s="25"/>
      <c r="S95" s="25"/>
      <c r="T95" s="25"/>
      <c r="U95" s="25"/>
      <c r="V95" s="25"/>
      <c r="W95" s="25"/>
      <c r="X95" s="25"/>
      <c r="Y95" s="25"/>
    </row>
    <row r="96" spans="1:25" x14ac:dyDescent="0.3">
      <c r="A96" s="25"/>
      <c r="B96" s="7">
        <f t="shared" si="1"/>
        <v>93</v>
      </c>
      <c r="C96" s="17"/>
      <c r="D96" s="7"/>
      <c r="E96" s="17"/>
      <c r="F96" s="17"/>
      <c r="G96" s="7"/>
      <c r="H96" s="9"/>
      <c r="I96" s="17"/>
      <c r="J96" s="17"/>
      <c r="K96" s="7"/>
      <c r="L96" s="25"/>
      <c r="M96" s="25"/>
      <c r="N96" s="25"/>
      <c r="O96" s="25"/>
      <c r="P96" s="25"/>
      <c r="Q96" s="25"/>
      <c r="R96" s="25"/>
      <c r="S96" s="25"/>
      <c r="T96" s="25"/>
      <c r="U96" s="25"/>
      <c r="V96" s="25"/>
      <c r="W96" s="25"/>
      <c r="X96" s="25"/>
      <c r="Y96" s="25"/>
    </row>
    <row r="97" spans="1:25" x14ac:dyDescent="0.3">
      <c r="A97" s="25"/>
      <c r="B97" s="7">
        <f t="shared" si="1"/>
        <v>94</v>
      </c>
      <c r="C97" s="17"/>
      <c r="D97" s="7"/>
      <c r="E97" s="17"/>
      <c r="F97" s="17"/>
      <c r="G97" s="7"/>
      <c r="H97" s="9"/>
      <c r="I97" s="17"/>
      <c r="J97" s="17"/>
      <c r="K97" s="7"/>
      <c r="L97" s="25"/>
      <c r="M97" s="25"/>
      <c r="N97" s="25"/>
      <c r="O97" s="25"/>
      <c r="P97" s="25"/>
      <c r="Q97" s="25"/>
      <c r="R97" s="25"/>
      <c r="S97" s="25"/>
      <c r="T97" s="25"/>
      <c r="U97" s="25"/>
      <c r="V97" s="25"/>
      <c r="W97" s="25"/>
      <c r="X97" s="25"/>
      <c r="Y97" s="25"/>
    </row>
    <row r="98" spans="1:25" x14ac:dyDescent="0.3">
      <c r="A98" s="25"/>
      <c r="B98" s="7">
        <f t="shared" si="1"/>
        <v>95</v>
      </c>
      <c r="C98" s="17"/>
      <c r="D98" s="7"/>
      <c r="E98" s="17"/>
      <c r="F98" s="17"/>
      <c r="G98" s="7"/>
      <c r="H98" s="9"/>
      <c r="I98" s="17"/>
      <c r="J98" s="17"/>
      <c r="K98" s="7"/>
      <c r="L98" s="25"/>
      <c r="M98" s="25"/>
      <c r="N98" s="25"/>
      <c r="O98" s="25"/>
      <c r="P98" s="25"/>
      <c r="Q98" s="25"/>
      <c r="R98" s="25"/>
      <c r="S98" s="25"/>
      <c r="T98" s="25"/>
      <c r="U98" s="25"/>
      <c r="V98" s="25"/>
      <c r="W98" s="25"/>
      <c r="X98" s="25"/>
      <c r="Y98" s="25"/>
    </row>
    <row r="99" spans="1:25" x14ac:dyDescent="0.3">
      <c r="A99" s="25"/>
      <c r="B99" s="7">
        <f t="shared" si="1"/>
        <v>96</v>
      </c>
      <c r="C99" s="17"/>
      <c r="D99" s="7"/>
      <c r="E99" s="17"/>
      <c r="F99" s="17"/>
      <c r="G99" s="7"/>
      <c r="H99" s="9"/>
      <c r="I99" s="17"/>
      <c r="J99" s="17"/>
      <c r="K99" s="7"/>
      <c r="L99" s="25"/>
      <c r="M99" s="25"/>
      <c r="N99" s="25"/>
      <c r="O99" s="25"/>
      <c r="P99" s="25"/>
      <c r="Q99" s="25"/>
      <c r="R99" s="25"/>
      <c r="S99" s="25"/>
      <c r="T99" s="25"/>
      <c r="U99" s="25"/>
      <c r="V99" s="25"/>
      <c r="W99" s="25"/>
      <c r="X99" s="25"/>
      <c r="Y99" s="25"/>
    </row>
    <row r="100" spans="1:25" x14ac:dyDescent="0.3">
      <c r="A100" s="25"/>
      <c r="B100" s="7">
        <f t="shared" si="1"/>
        <v>97</v>
      </c>
      <c r="C100" s="17"/>
      <c r="D100" s="7"/>
      <c r="E100" s="17"/>
      <c r="F100" s="17"/>
      <c r="G100" s="7"/>
      <c r="H100" s="9"/>
      <c r="I100" s="17"/>
      <c r="J100" s="17"/>
      <c r="K100" s="7"/>
      <c r="L100" s="25"/>
      <c r="M100" s="25"/>
      <c r="N100" s="25"/>
      <c r="O100" s="25"/>
      <c r="P100" s="25"/>
      <c r="Q100" s="25"/>
      <c r="R100" s="25"/>
      <c r="S100" s="25"/>
      <c r="T100" s="25"/>
      <c r="U100" s="25"/>
      <c r="V100" s="25"/>
      <c r="W100" s="25"/>
      <c r="X100" s="25"/>
      <c r="Y100" s="25"/>
    </row>
    <row r="101" spans="1:25" x14ac:dyDescent="0.3">
      <c r="A101" s="25"/>
      <c r="B101" s="7">
        <f t="shared" si="1"/>
        <v>98</v>
      </c>
      <c r="C101" s="17"/>
      <c r="D101" s="7"/>
      <c r="E101" s="17"/>
      <c r="F101" s="17"/>
      <c r="G101" s="7"/>
      <c r="H101" s="9"/>
      <c r="I101" s="17"/>
      <c r="J101" s="17"/>
      <c r="K101" s="7"/>
      <c r="L101" s="25"/>
      <c r="M101" s="25"/>
      <c r="N101" s="25"/>
      <c r="O101" s="25"/>
      <c r="P101" s="25"/>
      <c r="Q101" s="25"/>
      <c r="R101" s="25"/>
      <c r="S101" s="25"/>
      <c r="T101" s="25"/>
      <c r="U101" s="25"/>
      <c r="V101" s="25"/>
      <c r="W101" s="25"/>
      <c r="X101" s="25"/>
      <c r="Y101" s="25"/>
    </row>
    <row r="102" spans="1:25" x14ac:dyDescent="0.3">
      <c r="A102" s="25"/>
      <c r="B102" s="7">
        <f t="shared" si="1"/>
        <v>99</v>
      </c>
      <c r="K102" s="7"/>
      <c r="L102" s="25"/>
      <c r="M102" s="25"/>
      <c r="N102" s="25"/>
      <c r="O102" s="25"/>
      <c r="P102" s="25"/>
      <c r="Q102" s="25"/>
      <c r="R102" s="25"/>
      <c r="S102" s="25"/>
      <c r="T102" s="25"/>
      <c r="U102" s="25"/>
      <c r="V102" s="25"/>
      <c r="W102" s="25"/>
      <c r="X102" s="25"/>
      <c r="Y102" s="25"/>
    </row>
    <row r="103" spans="1:25" x14ac:dyDescent="0.3">
      <c r="A103" s="25"/>
      <c r="B103" s="30"/>
      <c r="C103" s="30"/>
      <c r="D103" s="30"/>
      <c r="E103" s="30"/>
      <c r="F103" s="30"/>
      <c r="G103" s="30"/>
      <c r="H103" s="30"/>
      <c r="I103" s="30"/>
      <c r="J103" s="30"/>
      <c r="K103" s="25"/>
      <c r="L103" s="25"/>
      <c r="M103" s="25"/>
      <c r="N103" s="25"/>
      <c r="O103" s="25"/>
      <c r="P103" s="25"/>
      <c r="Q103" s="25"/>
      <c r="R103" s="25"/>
      <c r="S103" s="25"/>
      <c r="T103" s="25"/>
      <c r="U103" s="25"/>
      <c r="V103" s="25"/>
      <c r="W103" s="25"/>
      <c r="X103" s="25"/>
      <c r="Y103" s="25"/>
    </row>
    <row r="104" spans="1:25" x14ac:dyDescent="0.3">
      <c r="A104" s="25"/>
      <c r="B104" s="30"/>
      <c r="C104" s="30"/>
      <c r="D104" s="30"/>
      <c r="E104" s="30"/>
      <c r="F104" s="30"/>
      <c r="G104" s="30"/>
      <c r="H104" s="30"/>
      <c r="I104" s="30"/>
      <c r="J104" s="30"/>
      <c r="K104" s="25"/>
      <c r="L104" s="25"/>
      <c r="M104" s="25"/>
      <c r="N104" s="25"/>
      <c r="O104" s="25"/>
      <c r="P104" s="25"/>
      <c r="Q104" s="25"/>
      <c r="R104" s="25"/>
      <c r="S104" s="25"/>
      <c r="T104" s="25"/>
      <c r="U104" s="25"/>
      <c r="V104" s="25"/>
      <c r="W104" s="25"/>
      <c r="X104" s="25"/>
      <c r="Y104" s="25"/>
    </row>
    <row r="105" spans="1:25" x14ac:dyDescent="0.3">
      <c r="A105" s="25"/>
      <c r="B105" s="30"/>
      <c r="C105" s="30"/>
      <c r="D105" s="30"/>
      <c r="E105" s="30"/>
      <c r="F105" s="30"/>
      <c r="G105" s="30"/>
      <c r="H105" s="30"/>
      <c r="I105" s="30"/>
      <c r="J105" s="30"/>
      <c r="K105" s="25"/>
      <c r="L105" s="25"/>
      <c r="M105" s="25"/>
      <c r="N105" s="25"/>
      <c r="O105" s="25"/>
      <c r="P105" s="25"/>
      <c r="Q105" s="25"/>
      <c r="R105" s="25"/>
      <c r="S105" s="25"/>
      <c r="T105" s="25"/>
      <c r="U105" s="25"/>
      <c r="V105" s="25"/>
      <c r="W105" s="25"/>
      <c r="X105" s="25"/>
      <c r="Y105" s="25"/>
    </row>
    <row r="106" spans="1:25" x14ac:dyDescent="0.3">
      <c r="A106" s="25"/>
      <c r="B106" s="30"/>
      <c r="C106" s="30"/>
      <c r="D106" s="30"/>
      <c r="E106" s="30"/>
      <c r="F106" s="30"/>
      <c r="G106" s="30"/>
      <c r="H106" s="30"/>
      <c r="I106" s="30"/>
      <c r="J106" s="30"/>
      <c r="K106" s="25"/>
      <c r="L106" s="25"/>
      <c r="M106" s="25"/>
      <c r="N106" s="25"/>
      <c r="O106" s="25"/>
      <c r="P106" s="25"/>
      <c r="Q106" s="25"/>
      <c r="R106" s="25"/>
      <c r="S106" s="25"/>
      <c r="T106" s="25"/>
      <c r="U106" s="25"/>
      <c r="V106" s="25"/>
      <c r="W106" s="25"/>
      <c r="X106" s="25"/>
      <c r="Y106" s="25"/>
    </row>
    <row r="107" spans="1:25" x14ac:dyDescent="0.3">
      <c r="A107" s="25"/>
      <c r="B107" s="25"/>
      <c r="C107" s="25"/>
      <c r="D107" s="47"/>
      <c r="E107" s="25"/>
      <c r="F107" s="25"/>
      <c r="G107" s="47"/>
      <c r="H107" s="48"/>
      <c r="I107" s="25"/>
      <c r="J107" s="25"/>
      <c r="K107" s="25"/>
      <c r="L107" s="25"/>
      <c r="M107" s="25"/>
      <c r="N107" s="25"/>
      <c r="O107" s="25"/>
      <c r="P107" s="25"/>
      <c r="Q107" s="25"/>
      <c r="R107" s="25"/>
      <c r="S107" s="25"/>
      <c r="T107" s="25"/>
      <c r="U107" s="25"/>
      <c r="V107" s="25"/>
      <c r="W107" s="25"/>
      <c r="X107" s="25"/>
      <c r="Y107" s="25"/>
    </row>
    <row r="108" spans="1:25" x14ac:dyDescent="0.3">
      <c r="A108" s="25"/>
      <c r="B108" s="25"/>
      <c r="C108" s="25"/>
      <c r="D108" s="47"/>
      <c r="E108" s="25"/>
      <c r="F108" s="25"/>
      <c r="G108" s="47"/>
      <c r="H108" s="48"/>
      <c r="I108" s="25"/>
      <c r="J108" s="25"/>
      <c r="K108" s="25"/>
      <c r="L108" s="25"/>
      <c r="M108" s="25"/>
      <c r="N108" s="25"/>
      <c r="O108" s="25"/>
      <c r="P108" s="25"/>
      <c r="Q108" s="25"/>
      <c r="R108" s="25"/>
      <c r="S108" s="25"/>
      <c r="T108" s="25"/>
      <c r="U108" s="25"/>
      <c r="V108" s="25"/>
      <c r="W108" s="25"/>
      <c r="X108" s="25"/>
      <c r="Y108" s="25"/>
    </row>
    <row r="109" spans="1:25" x14ac:dyDescent="0.3">
      <c r="A109" s="25"/>
      <c r="B109" s="25"/>
      <c r="C109" s="25"/>
      <c r="D109" s="47"/>
      <c r="E109" s="25"/>
      <c r="F109" s="25"/>
      <c r="G109" s="47"/>
      <c r="H109" s="48"/>
      <c r="I109" s="25"/>
      <c r="J109" s="25"/>
      <c r="K109" s="25"/>
      <c r="L109" s="25"/>
      <c r="M109" s="25"/>
      <c r="N109" s="25"/>
      <c r="O109" s="25"/>
      <c r="P109" s="25"/>
      <c r="Q109" s="25"/>
      <c r="R109" s="25"/>
      <c r="S109" s="25"/>
      <c r="T109" s="25"/>
      <c r="U109" s="25"/>
      <c r="V109" s="25"/>
      <c r="W109" s="25"/>
      <c r="X109" s="25"/>
      <c r="Y109" s="25"/>
    </row>
    <row r="110" spans="1:25" x14ac:dyDescent="0.3">
      <c r="A110" s="25"/>
      <c r="C110" s="25"/>
      <c r="D110" s="47"/>
      <c r="E110" s="25"/>
      <c r="F110" s="25"/>
      <c r="G110" s="47"/>
      <c r="H110" s="48"/>
      <c r="I110" s="25"/>
      <c r="J110" s="25"/>
      <c r="K110" s="25"/>
      <c r="L110" s="25"/>
      <c r="M110" s="25"/>
      <c r="N110" s="25"/>
      <c r="O110" s="25"/>
      <c r="P110" s="25"/>
      <c r="Q110" s="25"/>
      <c r="R110" s="25"/>
      <c r="S110" s="25"/>
      <c r="T110" s="25"/>
      <c r="U110" s="25"/>
      <c r="V110" s="25"/>
      <c r="W110" s="25"/>
      <c r="X110" s="25"/>
      <c r="Y110" s="25"/>
    </row>
  </sheetData>
  <sheetProtection algorithmName="SHA-512" hashValue="nwGfRkbi89GWc2VKbn+Gli9XV96OBoBwfl/BqT4hnw4DgYwnjVHwlTWU2fMWAWBxNy4Y7gk5tZjKkrdE9egchg==" saltValue="cU2fPKPRfIg4YoGLSywVSA==" spinCount="100000" sheet="1" objects="1" scenarios="1"/>
  <mergeCells count="5">
    <mergeCell ref="C2:F2"/>
    <mergeCell ref="G2:H2"/>
    <mergeCell ref="I2:J2"/>
    <mergeCell ref="B2:B3"/>
    <mergeCell ref="B1:J1"/>
  </mergeCells>
  <phoneticPr fontId="21" type="noConversion"/>
  <pageMargins left="0.7" right="0.7" top="0.75" bottom="0.75" header="0.3" footer="0.3"/>
  <pageSetup paperSize="9" scale="25"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Bird, Charlie</DisplayName>
        <AccountId>150</AccountId>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EF62FBED-CC6F-4361-B351-FEF6C51D9655}">
  <ds:schemaRefs>
    <ds:schemaRef ds:uri="http://schemas.microsoft.com/sharepoint/v3/contenttype/forms"/>
  </ds:schemaRefs>
</ds:datastoreItem>
</file>

<file path=customXml/itemProps2.xml><?xml version="1.0" encoding="utf-8"?>
<ds:datastoreItem xmlns:ds="http://schemas.openxmlformats.org/officeDocument/2006/customXml" ds:itemID="{B990440B-686E-4E7C-B147-79B4AC3A9BB8}">
  <ds:schemaRefs>
    <ds:schemaRef ds:uri="http://schemas.microsoft.com/sharepoint/events"/>
  </ds:schemaRefs>
</ds:datastoreItem>
</file>

<file path=customXml/itemProps3.xml><?xml version="1.0" encoding="utf-8"?>
<ds:datastoreItem xmlns:ds="http://schemas.openxmlformats.org/officeDocument/2006/customXml" ds:itemID="{8387315F-EBD4-47A8-ACBC-60B9C62C271D}"/>
</file>

<file path=customXml/itemProps4.xml><?xml version="1.0" encoding="utf-8"?>
<ds:datastoreItem xmlns:ds="http://schemas.openxmlformats.org/officeDocument/2006/customXml" ds:itemID="{EF7B7032-2DF6-4F5B-9CAF-D3F582EC019C}">
  <ds:schemaRefs>
    <ds:schemaRef ds:uri="http://schemas.microsoft.com/office/2006/documentManagement/types"/>
    <ds:schemaRef ds:uri="98e27532-bbeb-4da6-8880-e7fe4b0abe63"/>
    <ds:schemaRef ds:uri="http://purl.org/dc/terms/"/>
    <ds:schemaRef ds:uri="08894ec1-7550-4066-aff3-9f6acf21a880"/>
    <ds:schemaRef ds:uri="http://purl.org/dc/elements/1.1/"/>
    <ds:schemaRef ds:uri="http://www.w3.org/XML/1998/namespace"/>
    <ds:schemaRef ds:uri="http://purl.org/dc/dcmitype/"/>
    <ds:schemaRef ds:uri="662745e8-e224-48e8-a2e3-254862b8c2f5"/>
    <ds:schemaRef ds:uri="http://schemas.microsoft.com/office/infopath/2007/PartnerControls"/>
    <ds:schemaRef ds:uri="http://schemas.openxmlformats.org/package/2006/metadata/core-properties"/>
    <ds:schemaRef ds:uri="http://schemas.microsoft.com/office/2006/metadata/properties"/>
    <ds:schemaRef ds:uri="c93c427b-d310-4012-bc9f-e0cc8e4a691a"/>
    <ds:schemaRef ds:uri="dcd04632-a762-4184-8406-0065f5dc427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47</vt:i4>
      </vt:variant>
    </vt:vector>
  </HeadingPairs>
  <TitlesOfParts>
    <vt:vector size="60" baseType="lpstr">
      <vt:lpstr>1. Introduction</vt:lpstr>
      <vt:lpstr>2. Site Details</vt:lpstr>
      <vt:lpstr>3. Desktop Assessment</vt:lpstr>
      <vt:lpstr>4. Supporting Information</vt:lpstr>
      <vt:lpstr>5. Area Habitats</vt:lpstr>
      <vt:lpstr>6. Hedges &amp; Lines of Trees</vt:lpstr>
      <vt:lpstr>7. Watercourses</vt:lpstr>
      <vt:lpstr>8. Headline Results</vt:lpstr>
      <vt:lpstr>9. All Habitats + Multipliers</vt:lpstr>
      <vt:lpstr>10. Condition and Temporal</vt:lpstr>
      <vt:lpstr>11. Lists</vt:lpstr>
      <vt:lpstr>12. Version history</vt:lpstr>
      <vt:lpstr>13. Habitats Translation</vt:lpstr>
      <vt:lpstr>'6. Hedges &amp; Lines of Trees'!CoastalSaltmarsh</vt:lpstr>
      <vt:lpstr>'7. Watercourses'!CoastalSaltmarsh</vt:lpstr>
      <vt:lpstr>CoastalSaltmarsh</vt:lpstr>
      <vt:lpstr>'6. Hedges &amp; Lines of Trees'!Cropland</vt:lpstr>
      <vt:lpstr>'7. Watercourses'!Cropland</vt:lpstr>
      <vt:lpstr>Cropland</vt:lpstr>
      <vt:lpstr>'6. Hedges &amp; Lines of Trees'!Grassland</vt:lpstr>
      <vt:lpstr>'7. Watercourses'!Grassland</vt:lpstr>
      <vt:lpstr>Grassland</vt:lpstr>
      <vt:lpstr>'6. Hedges &amp; Lines of Trees'!Heathlandandshrub</vt:lpstr>
      <vt:lpstr>'7. Watercourses'!Heathlandandshrub</vt:lpstr>
      <vt:lpstr>Heathlandandshrub</vt:lpstr>
      <vt:lpstr>Hedgerow</vt:lpstr>
      <vt:lpstr>HedgerowsandLinesofTrees</vt:lpstr>
      <vt:lpstr>'6. Hedges &amp; Lines of Trees'!Intertidalhardstructures</vt:lpstr>
      <vt:lpstr>'7. Watercourses'!Intertidalhardstructures</vt:lpstr>
      <vt:lpstr>Intertidalhardstructures</vt:lpstr>
      <vt:lpstr>'6. Hedges &amp; Lines of Trees'!Intertidalsediment</vt:lpstr>
      <vt:lpstr>'7. Watercourses'!Intertidalsediment</vt:lpstr>
      <vt:lpstr>Intertidalsediment</vt:lpstr>
      <vt:lpstr>'6. Hedges &amp; Lines of Trees'!Lakes</vt:lpstr>
      <vt:lpstr>'7. Watercourses'!Lakes</vt:lpstr>
      <vt:lpstr>Lakes</vt:lpstr>
      <vt:lpstr>'6. Hedges &amp; Lines of Trees'!Lineoftrees</vt:lpstr>
      <vt:lpstr>'7. Watercourses'!Lineoftrees</vt:lpstr>
      <vt:lpstr>Lineoftrees</vt:lpstr>
      <vt:lpstr>'1. Introduction'!Print_Area</vt:lpstr>
      <vt:lpstr>'2. Site Details'!Print_Area</vt:lpstr>
      <vt:lpstr>'3. Desktop Assessment'!Print_Area</vt:lpstr>
      <vt:lpstr>'4. Supporting Information'!Print_Area</vt:lpstr>
      <vt:lpstr>'5. Area Habitats'!Print_Area</vt:lpstr>
      <vt:lpstr>'6. Hedges &amp; Lines of Trees'!Print_Area</vt:lpstr>
      <vt:lpstr>'7. Watercourses'!Print_Area</vt:lpstr>
      <vt:lpstr>'8. Headline Results'!Print_Area</vt:lpstr>
      <vt:lpstr>'6. Hedges &amp; Lines of Trees'!Rivers</vt:lpstr>
      <vt:lpstr>'7. Watercourses'!Rivers</vt:lpstr>
      <vt:lpstr>Rivers</vt:lpstr>
      <vt:lpstr>'6. Hedges &amp; Lines of Trees'!Sparselyvegetatedland</vt:lpstr>
      <vt:lpstr>'7. Watercourses'!Sparselyvegetatedland</vt:lpstr>
      <vt:lpstr>Sparselyvegetatedland</vt:lpstr>
      <vt:lpstr>'6. Hedges &amp; Lines of Trees'!Urban</vt:lpstr>
      <vt:lpstr>'7. Watercourses'!Urban</vt:lpstr>
      <vt:lpstr>Urban</vt:lpstr>
      <vt:lpstr>Watercourses</vt:lpstr>
      <vt:lpstr>'6. Hedges &amp; Lines of Trees'!Woodlandandforest</vt:lpstr>
      <vt:lpstr>'7. Watercourses'!Woodlandandforest</vt:lpstr>
      <vt:lpstr>Woodlandandforest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Samuel J. Arthur</dc:creator>
  <cp:keywords/>
  <dc:description/>
  <cp:lastModifiedBy>Dianne Brown</cp:lastModifiedBy>
  <cp:revision/>
  <dcterms:created xsi:type="dcterms:W3CDTF">2020-09-14T13:04:31Z</dcterms:created>
  <dcterms:modified xsi:type="dcterms:W3CDTF">2025-09-18T15:32:31Z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InformationType">
    <vt:lpwstr/>
  </property>
  <property fmtid="{D5CDD505-2E9C-101B-9397-08002B2CF9AE}" pid="4" name="Distribution">
    <vt:lpwstr>9;#Internal NE|70a74972-c838-4a08-aeb8-2c6aad14b4d9</vt:lpwstr>
  </property>
  <property fmtid="{D5CDD505-2E9C-101B-9397-08002B2CF9AE}" pid="5" name="HOCopyrightLevel">
    <vt:lpwstr>7;#Crown|69589897-2828-4761-976e-717fd8e631c9</vt:lpwstr>
  </property>
  <property fmtid="{D5CDD505-2E9C-101B-9397-08002B2CF9AE}" pid="6" name="HOGovernmentSecurityClassification">
    <vt:lpwstr>6;#Official|14c80daa-741b-422c-9722-f71693c9ede4</vt:lpwstr>
  </property>
  <property fmtid="{D5CDD505-2E9C-101B-9397-08002B2CF9AE}" pid="7" name="HOSiteType">
    <vt:lpwstr>10;#Team|ff0485df-0575-416f-802f-e999165821b7</vt:lpwstr>
  </property>
  <property fmtid="{D5CDD505-2E9C-101B-9397-08002B2CF9AE}" pid="8" name="OrganisationalUnit">
    <vt:lpwstr>8;#NE|275df9ce-cd92-4318-adfe-db572e51c7ff</vt:lpwstr>
  </property>
  <property fmtid="{D5CDD505-2E9C-101B-9397-08002B2CF9AE}" pid="9" name="SharedWithUsers">
    <vt:lpwstr>150;#Bird, Charlie</vt:lpwstr>
  </property>
  <property fmtid="{D5CDD505-2E9C-101B-9397-08002B2CF9AE}" pid="10" name="MediaServiceImageTags">
    <vt:lpwstr/>
  </property>
  <property fmtid="{D5CDD505-2E9C-101B-9397-08002B2CF9AE}" pid="11" name="_dlc_DocIdItemGuid">
    <vt:lpwstr>e799853b-58f8-4e28-8b96-8de66ff52d89</vt:lpwstr>
  </property>
</Properties>
</file>