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07"/>
  <workbookPr defaultThemeVersion="166925"/>
  <mc:AlternateContent xmlns:mc="http://schemas.openxmlformats.org/markup-compatibility/2006">
    <mc:Choice Requires="x15">
      <x15ac:absPath xmlns:x15ac="http://schemas.microsoft.com/office/spreadsheetml/2010/11/ac" url="F:\Highway Design\Active Travel Schemes TCF\Schemes\A61 Town Centre to Royston via Smithies Lane\Detailed Design\Bar Lane to Lee Lane\Calculations\"/>
    </mc:Choice>
  </mc:AlternateContent>
  <xr:revisionPtr revIDLastSave="0" documentId="13_ncr:1_{9A62B7D5-98FD-44EC-90E3-333F6347F180}" xr6:coauthVersionLast="47" xr6:coauthVersionMax="47" xr10:uidLastSave="{00000000-0000-0000-0000-000000000000}"/>
  <bookViews>
    <workbookView xWindow="28680" yWindow="1170" windowWidth="29040" windowHeight="15840" firstSheet="2" activeTab="2" xr2:uid="{1FD2BE17-491B-4F31-9E1B-58C2C11E5064}"/>
  </bookViews>
  <sheets>
    <sheet name="Swale Storage Volume" sheetId="1" r:id="rId1"/>
    <sheet name="Cycleway Cut Volumes" sheetId="3" r:id="rId2"/>
    <sheet name="Cycleway Fill Volumes" sheetId="2" r:id="rId3"/>
  </sheets>
  <definedNames>
    <definedName name="_xlnm.Print_Titles" localSheetId="1">'Cycleway Cut Volumes'!$A:$I,'Cycleway Cut Volumes'!$1:$3</definedName>
    <definedName name="_xlnm.Print_Titles" localSheetId="2">'Cycleway Fill Volumes'!$A:$I,'Cycleway Fill Volumes'!$1:$3</definedName>
    <definedName name="_xlnm.Print_Titles" localSheetId="0">'Swale Storage Volume'!$A:$I,'Swale Storage Volume'!$1:$5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54" i="2" l="1"/>
  <c r="C128" i="3"/>
  <c r="C132" i="3" s="1"/>
  <c r="C135" i="3" s="1"/>
  <c r="C127" i="3"/>
  <c r="C122" i="3"/>
  <c r="C125" i="3" s="1"/>
  <c r="C120" i="3"/>
  <c r="C112" i="3"/>
  <c r="C115" i="3"/>
  <c r="C110" i="3"/>
  <c r="C105" i="3"/>
  <c r="C100" i="3"/>
  <c r="C90" i="3"/>
  <c r="C93" i="3" s="1"/>
  <c r="C85" i="3"/>
  <c r="C88" i="3" s="1"/>
  <c r="C80" i="3"/>
  <c r="C83" i="3" s="1"/>
  <c r="C75" i="3"/>
  <c r="C78" i="3" s="1"/>
  <c r="C70" i="3"/>
  <c r="C73" i="3" s="1"/>
  <c r="C65" i="3"/>
  <c r="C68" i="3" s="1"/>
  <c r="C60" i="3"/>
  <c r="C63" i="3" s="1"/>
  <c r="C55" i="3"/>
  <c r="C58" i="3" s="1"/>
  <c r="C50" i="3"/>
  <c r="C53" i="3" s="1"/>
  <c r="C48" i="3"/>
  <c r="C41" i="3"/>
  <c r="C34" i="3"/>
  <c r="C27" i="3"/>
  <c r="D123" i="2"/>
  <c r="D129" i="2" s="1"/>
  <c r="D133" i="2" s="1"/>
  <c r="D59" i="2"/>
  <c r="D62" i="2" s="1"/>
  <c r="D44" i="2"/>
  <c r="D46" i="2" s="1"/>
  <c r="D43" i="2"/>
  <c r="D57" i="2" s="1"/>
  <c r="D61" i="2" s="1"/>
  <c r="D28" i="2"/>
  <c r="D34" i="2" s="1"/>
  <c r="D27" i="2"/>
  <c r="D33" i="2" s="1"/>
  <c r="D146" i="2"/>
  <c r="D150" i="2" s="1"/>
  <c r="D143" i="2"/>
  <c r="D114" i="2"/>
  <c r="D118" i="2" s="1"/>
  <c r="D98" i="2"/>
  <c r="D104" i="2" s="1"/>
  <c r="D108" i="2" s="1"/>
  <c r="D97" i="2"/>
  <c r="D101" i="2" s="1"/>
  <c r="D90" i="2"/>
  <c r="D94" i="2" s="1"/>
  <c r="D83" i="2"/>
  <c r="D87" i="2" s="1"/>
  <c r="D80" i="2"/>
  <c r="C99" i="1"/>
  <c r="D48" i="2"/>
  <c r="B91" i="1"/>
  <c r="B83" i="1"/>
  <c r="B75" i="1"/>
  <c r="B67" i="1"/>
  <c r="B59" i="1"/>
  <c r="B51" i="1"/>
  <c r="B43" i="1"/>
  <c r="C35" i="1"/>
  <c r="B27" i="1"/>
  <c r="C130" i="3" l="1"/>
  <c r="C137" i="3" s="1"/>
  <c r="D95" i="1"/>
  <c r="D101" i="1" s="1"/>
  <c r="D152" i="2"/>
  <c r="D126" i="2"/>
  <c r="D135" i="2" s="1"/>
  <c r="D110" i="2"/>
  <c r="D64" i="2"/>
  <c r="D69" i="2"/>
  <c r="D72" i="2" s="1"/>
  <c r="D51" i="2"/>
  <c r="D31" i="2"/>
  <c r="D36" i="2" s="1"/>
</calcChain>
</file>

<file path=xl/sharedStrings.xml><?xml version="1.0" encoding="utf-8"?>
<sst xmlns="http://schemas.openxmlformats.org/spreadsheetml/2006/main" count="576" uniqueCount="147">
  <si>
    <t>BMBC Highways Design</t>
  </si>
  <si>
    <t>Originator:</t>
  </si>
  <si>
    <t>NGF</t>
  </si>
  <si>
    <t>Calculation Sheet</t>
  </si>
  <si>
    <t>Checker:</t>
  </si>
  <si>
    <t>WA</t>
  </si>
  <si>
    <t>Date:</t>
  </si>
  <si>
    <t xml:space="preserve">Volume calculation for the proposed 330m length swale within the cutting </t>
  </si>
  <si>
    <t>See Bar ln - Lee Ln General Arrangement Plans, drawing refs.: ATS-BAR LN-LEE LN-009 to 011.</t>
  </si>
  <si>
    <t>Ten cross sections of the swale have been detailed in the Bar Ln to Lee Ln detailed design drawing.  The swale is split into nine lengths, between the cross sections,  and the average end equation is used to calculation the volume of each length.</t>
  </si>
  <si>
    <t>V = 1/2 (A1+A2) x L</t>
  </si>
  <si>
    <t xml:space="preserve">A1 and A2 = end areas; </t>
  </si>
  <si>
    <t xml:space="preserve">L = length between end areas </t>
  </si>
  <si>
    <t>Upstream to downstream</t>
  </si>
  <si>
    <t>Volume 1</t>
  </si>
  <si>
    <t>(chainage 360m-389m)</t>
  </si>
  <si>
    <t xml:space="preserve">A1= </t>
  </si>
  <si>
    <t>m ^2</t>
  </si>
  <si>
    <t>From CAD detail</t>
  </si>
  <si>
    <t xml:space="preserve">A2 = </t>
  </si>
  <si>
    <t xml:space="preserve">L = </t>
  </si>
  <si>
    <t xml:space="preserve">m </t>
  </si>
  <si>
    <t xml:space="preserve">V= </t>
  </si>
  <si>
    <t>m^3</t>
  </si>
  <si>
    <t>Volume 2</t>
  </si>
  <si>
    <t>(piped section- to avoid adjacent bank instability- chainage 389m - 399m)</t>
  </si>
  <si>
    <t xml:space="preserve">Pipe diameter = </t>
  </si>
  <si>
    <t>m</t>
  </si>
  <si>
    <t xml:space="preserve">Pipe length = </t>
  </si>
  <si>
    <t>V=</t>
  </si>
  <si>
    <t>Volume 3</t>
  </si>
  <si>
    <t>(chainage 399m - 436m)</t>
  </si>
  <si>
    <t>Volume 4</t>
  </si>
  <si>
    <t>(chainage 436m-497m)</t>
  </si>
  <si>
    <t>Volume 5</t>
  </si>
  <si>
    <t>(chainage 497m-564m)</t>
  </si>
  <si>
    <t>Volume 6</t>
  </si>
  <si>
    <t>(chainage 564m-623m)</t>
  </si>
  <si>
    <t>Volume 7</t>
  </si>
  <si>
    <t>(chainage 623m-643m)</t>
  </si>
  <si>
    <t xml:space="preserve">Volume 8 </t>
  </si>
  <si>
    <t>(chainage 643m-660m)</t>
  </si>
  <si>
    <t>Volume 9</t>
  </si>
  <si>
    <t>(chainage 660m-685m)</t>
  </si>
  <si>
    <t xml:space="preserve">Swale volume= </t>
  </si>
  <si>
    <t>Additional volume at head of swale (using average end area method)</t>
  </si>
  <si>
    <t>=</t>
  </si>
  <si>
    <t xml:space="preserve">Total swale volume = </t>
  </si>
  <si>
    <t>Cut volume calculation for the proposed shared cycleway</t>
  </si>
  <si>
    <t>See Bar ln - Lee Ln detailed design drawing.</t>
  </si>
  <si>
    <r>
      <t xml:space="preserve">From </t>
    </r>
    <r>
      <rPr>
        <b/>
        <sz val="11"/>
        <color theme="1"/>
        <rFont val="Calibri"/>
        <family val="2"/>
        <scheme val="minor"/>
      </rPr>
      <t xml:space="preserve">south to north </t>
    </r>
    <r>
      <rPr>
        <sz val="11"/>
        <color theme="1"/>
        <rFont val="Calibri"/>
        <family val="2"/>
        <scheme val="minor"/>
      </rPr>
      <t xml:space="preserve">volumes of cut are calculated using the prismoidal and average end methods, using the following equations: </t>
    </r>
  </si>
  <si>
    <t>V = 1/6(A1+ 4Am +A2) x L</t>
  </si>
  <si>
    <t>A1 and A2 = end areas; Am = area of mid section; L = length between end areas.</t>
  </si>
  <si>
    <t>V = 1/2(A1+A2)*L</t>
  </si>
  <si>
    <t>(volume of tapering ends of fill)</t>
  </si>
  <si>
    <t xml:space="preserve">A1 and A2 = end areas; L = length between end areas </t>
  </si>
  <si>
    <t>1.  South of A61/Bar Lane highway bridge</t>
  </si>
  <si>
    <t>A1 =</t>
  </si>
  <si>
    <t>m^2</t>
  </si>
  <si>
    <t>chainage 70m</t>
  </si>
  <si>
    <t>chainage 78.5m</t>
  </si>
  <si>
    <t>Volume from CAD</t>
  </si>
  <si>
    <t>L=</t>
  </si>
  <si>
    <t xml:space="preserve">Volume = </t>
  </si>
  <si>
    <t>2. Beneath A61 / Bar Lane highway bridge</t>
  </si>
  <si>
    <t>chainage 96.5m</t>
  </si>
  <si>
    <t>3. North of A61/Bar Lane highway bridge</t>
  </si>
  <si>
    <t>chainage 105.5m</t>
  </si>
  <si>
    <t>4. Length of shared cycleway adjacent to the swale, from north to south</t>
  </si>
  <si>
    <t>chainage 354m</t>
  </si>
  <si>
    <t>chainage 360m</t>
  </si>
  <si>
    <t>chainage 389m</t>
  </si>
  <si>
    <t>chainage 396m</t>
  </si>
  <si>
    <t>chainage 436m</t>
  </si>
  <si>
    <t>chainage 497m</t>
  </si>
  <si>
    <t>chainage 564m</t>
  </si>
  <si>
    <t>chainage 623m</t>
  </si>
  <si>
    <t>chainage 643m</t>
  </si>
  <si>
    <t>chainage 660m</t>
  </si>
  <si>
    <t>chainage 685m</t>
  </si>
  <si>
    <t>5. Embankment</t>
  </si>
  <si>
    <t>chainage 924m</t>
  </si>
  <si>
    <t>chainage 950m</t>
  </si>
  <si>
    <t>chainage 973m</t>
  </si>
  <si>
    <t>chainage 1211.5m</t>
  </si>
  <si>
    <t>chainage 1227.5m</t>
  </si>
  <si>
    <t>chainage 1268m</t>
  </si>
  <si>
    <t>chainage 1359m</t>
  </si>
  <si>
    <t>chainage 1370m</t>
  </si>
  <si>
    <t>chainage 1391.5m</t>
  </si>
  <si>
    <t>chainage 1442.5m</t>
  </si>
  <si>
    <t>Calculation assuming horizontal existing ground levels in cross section</t>
  </si>
  <si>
    <t>chainage 1460m</t>
  </si>
  <si>
    <t>chainage 1491.5m</t>
  </si>
  <si>
    <t xml:space="preserve">Total cut volume = </t>
  </si>
  <si>
    <t>Fill calculation for the proposed shared cycleway</t>
  </si>
  <si>
    <r>
      <t xml:space="preserve">From </t>
    </r>
    <r>
      <rPr>
        <b/>
        <sz val="11"/>
        <color theme="1"/>
        <rFont val="Calibri"/>
        <family val="2"/>
        <scheme val="minor"/>
      </rPr>
      <t xml:space="preserve">south to north </t>
    </r>
    <r>
      <rPr>
        <sz val="11"/>
        <color theme="1"/>
        <rFont val="Calibri"/>
        <family val="2"/>
        <scheme val="minor"/>
      </rPr>
      <t xml:space="preserve">volumes of fill are calculated using the prismoidal and average end methods, using the following equations: </t>
    </r>
  </si>
  <si>
    <t>Body of fill</t>
  </si>
  <si>
    <t>Ends of fill</t>
  </si>
  <si>
    <t>Assumptions</t>
  </si>
  <si>
    <t>Height of fill above local prepared ground levels is equal across the full width of new cycleway+adjacent verges and the sides of the fill are battered at 45 degrees</t>
  </si>
  <si>
    <t>South of A61 highway bridge</t>
  </si>
  <si>
    <t>(chainage 13m -70m approx.)</t>
  </si>
  <si>
    <t>chainage 30m</t>
  </si>
  <si>
    <t>chainage 60m</t>
  </si>
  <si>
    <t>Am=</t>
  </si>
  <si>
    <t>CAD cross section at chainage 40m</t>
  </si>
  <si>
    <t>Body</t>
  </si>
  <si>
    <t xml:space="preserve">Vb= </t>
  </si>
  <si>
    <t>Ends</t>
  </si>
  <si>
    <t>V1=</t>
  </si>
  <si>
    <t>V2=</t>
  </si>
  <si>
    <t xml:space="preserve">Total volume = </t>
  </si>
  <si>
    <t>Between A61 highway bridge and interface at increase in  fill width, where footpath from A61 north meets the new cycleway (chainage 105m - 150m approx.)</t>
  </si>
  <si>
    <t>from CAD cross section at chainage 116m</t>
  </si>
  <si>
    <t>chainage 150m</t>
  </si>
  <si>
    <t>chainage 133m</t>
  </si>
  <si>
    <t>End</t>
  </si>
  <si>
    <t>Increase in fill width, where A61 footpath meets the new cycleway, using average end method (chainage 150m - 185m approx.)</t>
  </si>
  <si>
    <t>CAD cross section chainage 169m</t>
  </si>
  <si>
    <t>A3=</t>
  </si>
  <si>
    <t>Chainage 185m</t>
  </si>
  <si>
    <t xml:space="preserve">Total Volume = </t>
  </si>
  <si>
    <t>Between north end of increased fill width to end of fill at crossing underground electricity cable , using average end method (chainage 185m - 229m approx.)</t>
  </si>
  <si>
    <t>chainage 185m</t>
  </si>
  <si>
    <t>chainage 229m</t>
  </si>
  <si>
    <t>Adjacent to the new swale (chainage 608m - 700m approx.)</t>
  </si>
  <si>
    <t xml:space="preserve">A1 = </t>
  </si>
  <si>
    <t>chainage 608m</t>
  </si>
  <si>
    <t>A2 =</t>
  </si>
  <si>
    <t>CAD cross section chainage 623m</t>
  </si>
  <si>
    <t>CAD cross section chainage 643m</t>
  </si>
  <si>
    <t>CAD cross section chainage 660m</t>
  </si>
  <si>
    <t>CAD cross section chainage 685m</t>
  </si>
  <si>
    <t>CAD cross section chainage 700m</t>
  </si>
  <si>
    <t>North of new swale outfall (chainage 700m - 717m)</t>
  </si>
  <si>
    <t>CAD cross section chainage 717m</t>
  </si>
  <si>
    <t>Embankment (chainage 974m - 1016m approx.)</t>
  </si>
  <si>
    <t>chainage 974m</t>
  </si>
  <si>
    <t>chainage 982.09m</t>
  </si>
  <si>
    <t>chainage 1016.37m</t>
  </si>
  <si>
    <t>Embankment north end (chainage 1490m - 1554m approx.)</t>
  </si>
  <si>
    <t>chainage  1490m</t>
  </si>
  <si>
    <t>chainage 1525m</t>
  </si>
  <si>
    <t>chainage 1554m</t>
  </si>
  <si>
    <t xml:space="preserve">Total fill volume Bar Lane to Lee Lane = </t>
  </si>
  <si>
    <t>Volume of surface materials  to be subtracted from the above (binder, base,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</si>
</sst>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quotePrefix="1"/>
    <xf numFmtId="14" fontId="0" fillId="0" borderId="0" xfId="0" applyNumberFormat="1"/>
    <xf numFmtId="0" fontId="0" fillId="0" borderId="0" xfId="0" applyAlignment="1">
      <alignment horizontal="right"/>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F99F0-6088-486C-A787-276CA15E74EE}">
  <dimension ref="A1:I101"/>
  <sheetViews>
    <sheetView workbookViewId="0">
      <selection sqref="A1:H3"/>
    </sheetView>
  </sheetViews>
  <sheetFormatPr defaultRowHeight="15"/>
  <cols>
    <col min="1" max="1" width="11.28515625" customWidth="1"/>
    <col min="2" max="2" width="10.7109375" bestFit="1" customWidth="1"/>
    <col min="7" max="7" width="10.28515625" customWidth="1"/>
    <col min="8" max="8" width="11.5703125" customWidth="1"/>
  </cols>
  <sheetData>
    <row r="1" spans="1:9">
      <c r="A1" t="s">
        <v>0</v>
      </c>
      <c r="G1" s="4" t="s">
        <v>1</v>
      </c>
      <c r="H1" t="s">
        <v>2</v>
      </c>
    </row>
    <row r="2" spans="1:9">
      <c r="A2" t="s">
        <v>3</v>
      </c>
      <c r="G2" s="4" t="s">
        <v>4</v>
      </c>
      <c r="H2" t="s">
        <v>5</v>
      </c>
    </row>
    <row r="3" spans="1:9">
      <c r="G3" s="4" t="s">
        <v>6</v>
      </c>
      <c r="H3" s="3">
        <v>44629</v>
      </c>
    </row>
    <row r="7" spans="1:9">
      <c r="A7" s="1" t="s">
        <v>7</v>
      </c>
    </row>
    <row r="9" spans="1:9">
      <c r="A9" t="s">
        <v>8</v>
      </c>
    </row>
    <row r="13" spans="1:9">
      <c r="A13" s="5" t="s">
        <v>9</v>
      </c>
      <c r="B13" s="5"/>
      <c r="C13" s="5"/>
      <c r="D13" s="5"/>
      <c r="E13" s="5"/>
      <c r="F13" s="5"/>
      <c r="G13" s="5"/>
      <c r="H13" s="5"/>
      <c r="I13" s="5"/>
    </row>
    <row r="14" spans="1:9">
      <c r="A14" s="5"/>
      <c r="B14" s="5"/>
      <c r="C14" s="5"/>
      <c r="D14" s="5"/>
      <c r="E14" s="5"/>
      <c r="F14" s="5"/>
      <c r="G14" s="5"/>
      <c r="H14" s="5"/>
      <c r="I14" s="5"/>
    </row>
    <row r="15" spans="1:9">
      <c r="A15" s="5"/>
      <c r="B15" s="5"/>
      <c r="C15" s="5"/>
      <c r="D15" s="5"/>
      <c r="E15" s="5"/>
      <c r="F15" s="5"/>
      <c r="G15" s="5"/>
      <c r="H15" s="5"/>
      <c r="I15" s="5"/>
    </row>
    <row r="17" spans="1:6">
      <c r="B17" t="s">
        <v>10</v>
      </c>
      <c r="F17" t="s">
        <v>11</v>
      </c>
    </row>
    <row r="18" spans="1:6">
      <c r="F18" t="s">
        <v>12</v>
      </c>
    </row>
    <row r="19" spans="1:6">
      <c r="A19" t="s">
        <v>13</v>
      </c>
    </row>
    <row r="21" spans="1:6">
      <c r="A21" t="s">
        <v>14</v>
      </c>
      <c r="C21" t="s">
        <v>15</v>
      </c>
    </row>
    <row r="23" spans="1:6">
      <c r="A23" t="s">
        <v>16</v>
      </c>
      <c r="B23">
        <v>1.5483</v>
      </c>
      <c r="C23" t="s">
        <v>17</v>
      </c>
      <c r="F23" t="s">
        <v>18</v>
      </c>
    </row>
    <row r="24" spans="1:6">
      <c r="A24" t="s">
        <v>19</v>
      </c>
      <c r="B24">
        <v>1.1967000000000001</v>
      </c>
      <c r="C24" t="s">
        <v>17</v>
      </c>
    </row>
    <row r="25" spans="1:6">
      <c r="A25" t="s">
        <v>20</v>
      </c>
      <c r="B25">
        <v>29.582999999999998</v>
      </c>
      <c r="C25" t="s">
        <v>21</v>
      </c>
    </row>
    <row r="27" spans="1:6">
      <c r="A27" t="s">
        <v>22</v>
      </c>
      <c r="B27">
        <f>0.5*(B23+B24)*B25</f>
        <v>40.602667500000003</v>
      </c>
      <c r="C27" t="s">
        <v>23</v>
      </c>
    </row>
    <row r="30" spans="1:6">
      <c r="A30" t="s">
        <v>24</v>
      </c>
      <c r="B30" t="s">
        <v>25</v>
      </c>
    </row>
    <row r="32" spans="1:6">
      <c r="A32" t="s">
        <v>26</v>
      </c>
      <c r="C32">
        <v>0.52500000000000002</v>
      </c>
      <c r="D32" t="s">
        <v>27</v>
      </c>
    </row>
    <row r="33" spans="1:6">
      <c r="A33" t="s">
        <v>28</v>
      </c>
      <c r="C33">
        <v>10</v>
      </c>
      <c r="D33" t="s">
        <v>27</v>
      </c>
    </row>
    <row r="35" spans="1:6">
      <c r="A35" t="s">
        <v>29</v>
      </c>
      <c r="C35">
        <f>3.1421*C32*C32/4*10</f>
        <v>2.16510328125</v>
      </c>
      <c r="D35" t="s">
        <v>23</v>
      </c>
    </row>
    <row r="37" spans="1:6">
      <c r="A37" t="s">
        <v>30</v>
      </c>
      <c r="C37" t="s">
        <v>31</v>
      </c>
    </row>
    <row r="39" spans="1:6">
      <c r="A39" t="s">
        <v>16</v>
      </c>
      <c r="B39">
        <v>0.83</v>
      </c>
      <c r="C39" t="s">
        <v>17</v>
      </c>
      <c r="F39" t="s">
        <v>18</v>
      </c>
    </row>
    <row r="40" spans="1:6">
      <c r="A40" t="s">
        <v>19</v>
      </c>
      <c r="B40">
        <v>0.94079999999999997</v>
      </c>
      <c r="C40" t="s">
        <v>17</v>
      </c>
    </row>
    <row r="41" spans="1:6">
      <c r="A41" t="s">
        <v>20</v>
      </c>
      <c r="B41">
        <v>37.134</v>
      </c>
      <c r="C41" t="s">
        <v>21</v>
      </c>
    </row>
    <row r="43" spans="1:6">
      <c r="A43" t="s">
        <v>22</v>
      </c>
      <c r="B43">
        <f>0.5*(B39+B40)*B41</f>
        <v>32.878443599999997</v>
      </c>
      <c r="C43" t="s">
        <v>23</v>
      </c>
    </row>
    <row r="45" spans="1:6">
      <c r="A45" t="s">
        <v>32</v>
      </c>
      <c r="C45" t="s">
        <v>33</v>
      </c>
    </row>
    <row r="47" spans="1:6">
      <c r="A47" t="s">
        <v>16</v>
      </c>
      <c r="B47">
        <v>0.94079999999999997</v>
      </c>
      <c r="C47" t="s">
        <v>17</v>
      </c>
      <c r="F47" t="s">
        <v>18</v>
      </c>
    </row>
    <row r="48" spans="1:6">
      <c r="A48" t="s">
        <v>19</v>
      </c>
      <c r="B48">
        <v>1.4838</v>
      </c>
      <c r="C48" t="s">
        <v>17</v>
      </c>
    </row>
    <row r="49" spans="1:6">
      <c r="A49" t="s">
        <v>20</v>
      </c>
      <c r="B49">
        <v>60.338000000000001</v>
      </c>
      <c r="C49" t="s">
        <v>21</v>
      </c>
    </row>
    <row r="51" spans="1:6">
      <c r="A51" t="s">
        <v>22</v>
      </c>
      <c r="B51">
        <f>0.5*(B47+B48)*B49</f>
        <v>73.147757400000003</v>
      </c>
      <c r="C51" t="s">
        <v>23</v>
      </c>
    </row>
    <row r="53" spans="1:6">
      <c r="A53" t="s">
        <v>34</v>
      </c>
      <c r="C53" t="s">
        <v>35</v>
      </c>
    </row>
    <row r="55" spans="1:6">
      <c r="A55" t="s">
        <v>16</v>
      </c>
      <c r="B55">
        <v>1.4838</v>
      </c>
      <c r="C55" t="s">
        <v>17</v>
      </c>
      <c r="F55" t="s">
        <v>18</v>
      </c>
    </row>
    <row r="56" spans="1:6">
      <c r="A56" t="s">
        <v>19</v>
      </c>
      <c r="B56">
        <v>1.5699000000000001</v>
      </c>
      <c r="C56" t="s">
        <v>17</v>
      </c>
    </row>
    <row r="57" spans="1:6">
      <c r="A57" t="s">
        <v>20</v>
      </c>
      <c r="B57">
        <v>67.393000000000001</v>
      </c>
      <c r="C57" t="s">
        <v>21</v>
      </c>
    </row>
    <row r="59" spans="1:6">
      <c r="A59" t="s">
        <v>22</v>
      </c>
      <c r="B59">
        <f>0.5*(B55+B56)*B57</f>
        <v>102.89900205000001</v>
      </c>
      <c r="C59" t="s">
        <v>23</v>
      </c>
    </row>
    <row r="61" spans="1:6">
      <c r="A61" t="s">
        <v>36</v>
      </c>
      <c r="C61" t="s">
        <v>37</v>
      </c>
    </row>
    <row r="63" spans="1:6">
      <c r="A63" t="s">
        <v>16</v>
      </c>
      <c r="B63">
        <v>1.5699000000000001</v>
      </c>
      <c r="C63" t="s">
        <v>17</v>
      </c>
      <c r="F63" t="s">
        <v>18</v>
      </c>
    </row>
    <row r="64" spans="1:6">
      <c r="A64" t="s">
        <v>19</v>
      </c>
      <c r="B64">
        <v>2.0154999999999998</v>
      </c>
      <c r="C64" t="s">
        <v>17</v>
      </c>
    </row>
    <row r="65" spans="1:6">
      <c r="A65" t="s">
        <v>20</v>
      </c>
      <c r="B65">
        <v>58.858499999999999</v>
      </c>
      <c r="C65" t="s">
        <v>21</v>
      </c>
    </row>
    <row r="67" spans="1:6">
      <c r="A67" t="s">
        <v>22</v>
      </c>
      <c r="B67">
        <f>0.5*(B63+B64)*B65</f>
        <v>105.51563295</v>
      </c>
      <c r="C67" t="s">
        <v>23</v>
      </c>
    </row>
    <row r="69" spans="1:6">
      <c r="A69" t="s">
        <v>38</v>
      </c>
      <c r="C69" t="s">
        <v>39</v>
      </c>
    </row>
    <row r="71" spans="1:6">
      <c r="A71" t="s">
        <v>16</v>
      </c>
      <c r="B71">
        <v>2.0154999999999998</v>
      </c>
      <c r="C71" t="s">
        <v>17</v>
      </c>
      <c r="F71" t="s">
        <v>18</v>
      </c>
    </row>
    <row r="72" spans="1:6">
      <c r="A72" t="s">
        <v>19</v>
      </c>
      <c r="B72">
        <v>3.1362000000000001</v>
      </c>
      <c r="C72" t="s">
        <v>17</v>
      </c>
    </row>
    <row r="73" spans="1:6">
      <c r="A73" t="s">
        <v>20</v>
      </c>
      <c r="B73">
        <v>20.150500000000001</v>
      </c>
      <c r="C73" t="s">
        <v>21</v>
      </c>
    </row>
    <row r="75" spans="1:6">
      <c r="A75" t="s">
        <v>22</v>
      </c>
      <c r="B75">
        <f>0.5*(B71+B72)*B73</f>
        <v>51.904665425000005</v>
      </c>
      <c r="C75" t="s">
        <v>23</v>
      </c>
    </row>
    <row r="77" spans="1:6">
      <c r="A77" t="s">
        <v>40</v>
      </c>
      <c r="C77" t="s">
        <v>41</v>
      </c>
    </row>
    <row r="79" spans="1:6">
      <c r="A79" t="s">
        <v>16</v>
      </c>
      <c r="B79">
        <v>3.1362000000000001</v>
      </c>
      <c r="C79" t="s">
        <v>17</v>
      </c>
      <c r="F79" t="s">
        <v>18</v>
      </c>
    </row>
    <row r="80" spans="1:6">
      <c r="A80" t="s">
        <v>19</v>
      </c>
      <c r="B80">
        <v>2.2437999999999998</v>
      </c>
      <c r="C80" t="s">
        <v>17</v>
      </c>
    </row>
    <row r="81" spans="1:6">
      <c r="A81" t="s">
        <v>20</v>
      </c>
      <c r="B81">
        <v>16.2028</v>
      </c>
      <c r="C81" t="s">
        <v>21</v>
      </c>
    </row>
    <row r="83" spans="1:6">
      <c r="A83" t="s">
        <v>22</v>
      </c>
      <c r="B83">
        <f>0.5*(B79+B80)*B81</f>
        <v>43.585532000000001</v>
      </c>
      <c r="C83" t="s">
        <v>23</v>
      </c>
    </row>
    <row r="85" spans="1:6">
      <c r="A85" t="s">
        <v>42</v>
      </c>
      <c r="C85" t="s">
        <v>43</v>
      </c>
    </row>
    <row r="87" spans="1:6">
      <c r="A87" t="s">
        <v>16</v>
      </c>
      <c r="B87">
        <v>2.2437999999999998</v>
      </c>
      <c r="C87" t="s">
        <v>17</v>
      </c>
      <c r="F87" t="s">
        <v>18</v>
      </c>
    </row>
    <row r="88" spans="1:6">
      <c r="A88" t="s">
        <v>19</v>
      </c>
      <c r="B88">
        <v>2.7919</v>
      </c>
      <c r="C88" t="s">
        <v>17</v>
      </c>
    </row>
    <row r="89" spans="1:6">
      <c r="A89" t="s">
        <v>20</v>
      </c>
      <c r="B89">
        <v>25.381</v>
      </c>
      <c r="C89" t="s">
        <v>21</v>
      </c>
    </row>
    <row r="91" spans="1:6">
      <c r="A91" t="s">
        <v>22</v>
      </c>
      <c r="B91">
        <f>0.5*(B87+B88)*B89</f>
        <v>63.905550850000004</v>
      </c>
      <c r="C91" t="s">
        <v>23</v>
      </c>
    </row>
    <row r="95" spans="1:6">
      <c r="A95" t="s">
        <v>44</v>
      </c>
      <c r="D95">
        <f>B27+C35+B43+B51+B59+B67+B75+B83+B91</f>
        <v>516.60435505625003</v>
      </c>
      <c r="E95" t="s">
        <v>23</v>
      </c>
    </row>
    <row r="97" spans="1:5">
      <c r="A97" t="s">
        <v>45</v>
      </c>
    </row>
    <row r="99" spans="1:5">
      <c r="B99" s="2" t="s">
        <v>46</v>
      </c>
      <c r="C99">
        <f>1/2*(0+B23)*6</f>
        <v>4.6448999999999998</v>
      </c>
      <c r="D99" t="s">
        <v>23</v>
      </c>
    </row>
    <row r="101" spans="1:5">
      <c r="A101" t="s">
        <v>47</v>
      </c>
      <c r="D101">
        <f>D95+A98</f>
        <v>516.60435505625003</v>
      </c>
      <c r="E101" t="s">
        <v>23</v>
      </c>
    </row>
  </sheetData>
  <mergeCells count="1">
    <mergeCell ref="A13:I15"/>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A856D-063F-4C4C-BD7F-62CB345CC273}">
  <dimension ref="A1:I137"/>
  <sheetViews>
    <sheetView workbookViewId="0">
      <selection sqref="A1:I3"/>
    </sheetView>
  </sheetViews>
  <sheetFormatPr defaultRowHeight="15"/>
  <cols>
    <col min="8" max="8" width="11.85546875" customWidth="1"/>
  </cols>
  <sheetData>
    <row r="1" spans="1:9">
      <c r="A1" t="s">
        <v>0</v>
      </c>
      <c r="G1" s="4" t="s">
        <v>1</v>
      </c>
      <c r="H1" t="s">
        <v>2</v>
      </c>
    </row>
    <row r="2" spans="1:9">
      <c r="A2" t="s">
        <v>3</v>
      </c>
      <c r="G2" s="4" t="s">
        <v>4</v>
      </c>
      <c r="H2" t="s">
        <v>5</v>
      </c>
    </row>
    <row r="3" spans="1:9">
      <c r="G3" s="4" t="s">
        <v>6</v>
      </c>
      <c r="H3" s="3">
        <v>44629</v>
      </c>
    </row>
    <row r="6" spans="1:9">
      <c r="A6" s="1" t="s">
        <v>48</v>
      </c>
    </row>
    <row r="8" spans="1:9">
      <c r="A8" t="s">
        <v>49</v>
      </c>
    </row>
    <row r="10" spans="1:9">
      <c r="A10" s="5" t="s">
        <v>50</v>
      </c>
      <c r="B10" s="5"/>
      <c r="C10" s="5"/>
      <c r="D10" s="5"/>
      <c r="E10" s="5"/>
      <c r="F10" s="5"/>
      <c r="G10" s="5"/>
      <c r="H10" s="5"/>
      <c r="I10" s="5"/>
    </row>
    <row r="11" spans="1:9">
      <c r="A11" s="5"/>
      <c r="B11" s="5"/>
      <c r="C11" s="5"/>
      <c r="D11" s="5"/>
      <c r="E11" s="5"/>
      <c r="F11" s="5"/>
      <c r="G11" s="5"/>
      <c r="H11" s="5"/>
      <c r="I11" s="5"/>
    </row>
    <row r="12" spans="1:9">
      <c r="E12" t="s">
        <v>51</v>
      </c>
    </row>
    <row r="14" spans="1:9">
      <c r="A14" t="s">
        <v>52</v>
      </c>
    </row>
    <row r="17" spans="1:8">
      <c r="E17" t="s">
        <v>53</v>
      </c>
      <c r="G17" t="s">
        <v>54</v>
      </c>
    </row>
    <row r="19" spans="1:8">
      <c r="E19" t="s">
        <v>55</v>
      </c>
    </row>
    <row r="22" spans="1:8">
      <c r="A22" t="s">
        <v>56</v>
      </c>
    </row>
    <row r="24" spans="1:8">
      <c r="B24" t="s">
        <v>57</v>
      </c>
      <c r="C24">
        <v>0</v>
      </c>
      <c r="D24" t="s">
        <v>58</v>
      </c>
      <c r="F24" t="s">
        <v>59</v>
      </c>
    </row>
    <row r="25" spans="1:8">
      <c r="B25" t="s">
        <v>19</v>
      </c>
      <c r="C25">
        <v>4.1500000000000004</v>
      </c>
      <c r="D25" t="s">
        <v>58</v>
      </c>
      <c r="F25" t="s">
        <v>60</v>
      </c>
      <c r="H25" t="s">
        <v>61</v>
      </c>
    </row>
    <row r="26" spans="1:8">
      <c r="B26" t="s">
        <v>62</v>
      </c>
      <c r="C26">
        <v>8.5</v>
      </c>
      <c r="D26" t="s">
        <v>27</v>
      </c>
    </row>
    <row r="27" spans="1:8">
      <c r="A27" t="s">
        <v>63</v>
      </c>
      <c r="C27">
        <f>1/2*(C24+C25)*C26</f>
        <v>17.637500000000003</v>
      </c>
      <c r="D27" t="s">
        <v>23</v>
      </c>
    </row>
    <row r="29" spans="1:8">
      <c r="A29" t="s">
        <v>64</v>
      </c>
    </row>
    <row r="31" spans="1:8">
      <c r="B31" t="s">
        <v>57</v>
      </c>
      <c r="C31">
        <v>4.1500000000000004</v>
      </c>
      <c r="D31" t="s">
        <v>58</v>
      </c>
      <c r="F31" t="s">
        <v>60</v>
      </c>
      <c r="H31" t="s">
        <v>61</v>
      </c>
    </row>
    <row r="32" spans="1:8">
      <c r="B32" t="s">
        <v>19</v>
      </c>
      <c r="C32">
        <v>3.4580000000000002</v>
      </c>
      <c r="D32" t="s">
        <v>58</v>
      </c>
      <c r="F32" t="s">
        <v>65</v>
      </c>
      <c r="H32" t="s">
        <v>61</v>
      </c>
    </row>
    <row r="33" spans="1:8">
      <c r="B33" t="s">
        <v>62</v>
      </c>
      <c r="C33">
        <v>18</v>
      </c>
      <c r="D33" t="s">
        <v>27</v>
      </c>
    </row>
    <row r="34" spans="1:8">
      <c r="A34" t="s">
        <v>63</v>
      </c>
      <c r="C34">
        <f>1/2*(C31+C32)*C33</f>
        <v>68.472000000000008</v>
      </c>
      <c r="D34" t="s">
        <v>23</v>
      </c>
    </row>
    <row r="36" spans="1:8">
      <c r="A36" t="s">
        <v>66</v>
      </c>
    </row>
    <row r="38" spans="1:8">
      <c r="B38" t="s">
        <v>57</v>
      </c>
      <c r="C38">
        <v>3.88</v>
      </c>
      <c r="D38" t="s">
        <v>58</v>
      </c>
      <c r="F38" t="s">
        <v>65</v>
      </c>
      <c r="H38" t="s">
        <v>61</v>
      </c>
    </row>
    <row r="39" spans="1:8">
      <c r="B39" t="s">
        <v>19</v>
      </c>
      <c r="C39">
        <v>0</v>
      </c>
      <c r="D39" t="s">
        <v>58</v>
      </c>
      <c r="F39" t="s">
        <v>67</v>
      </c>
    </row>
    <row r="40" spans="1:8">
      <c r="B40" t="s">
        <v>62</v>
      </c>
      <c r="C40">
        <v>9</v>
      </c>
      <c r="D40" t="s">
        <v>27</v>
      </c>
    </row>
    <row r="41" spans="1:8">
      <c r="A41" t="s">
        <v>63</v>
      </c>
      <c r="C41">
        <f>1/2*(C38+C39)*C40</f>
        <v>17.46</v>
      </c>
      <c r="D41" t="s">
        <v>23</v>
      </c>
    </row>
    <row r="43" spans="1:8">
      <c r="A43" t="s">
        <v>68</v>
      </c>
    </row>
    <row r="45" spans="1:8">
      <c r="B45" t="s">
        <v>57</v>
      </c>
      <c r="C45">
        <v>0</v>
      </c>
      <c r="D45" t="s">
        <v>58</v>
      </c>
      <c r="F45" t="s">
        <v>69</v>
      </c>
    </row>
    <row r="46" spans="1:8">
      <c r="B46" t="s">
        <v>19</v>
      </c>
      <c r="C46">
        <v>1.47</v>
      </c>
      <c r="D46" t="s">
        <v>58</v>
      </c>
      <c r="F46" t="s">
        <v>70</v>
      </c>
      <c r="H46" t="s">
        <v>61</v>
      </c>
    </row>
    <row r="47" spans="1:8">
      <c r="B47" t="s">
        <v>62</v>
      </c>
      <c r="C47">
        <v>6</v>
      </c>
      <c r="D47" t="s">
        <v>27</v>
      </c>
    </row>
    <row r="48" spans="1:8">
      <c r="A48" t="s">
        <v>63</v>
      </c>
      <c r="C48">
        <f>1/2*(C45+C46)*C47</f>
        <v>4.41</v>
      </c>
      <c r="D48" t="s">
        <v>23</v>
      </c>
    </row>
    <row r="50" spans="1:8">
      <c r="B50" t="s">
        <v>57</v>
      </c>
      <c r="C50">
        <f>C46</f>
        <v>1.47</v>
      </c>
      <c r="D50" t="s">
        <v>58</v>
      </c>
      <c r="F50" t="s">
        <v>70</v>
      </c>
      <c r="H50" t="s">
        <v>61</v>
      </c>
    </row>
    <row r="51" spans="1:8">
      <c r="B51" t="s">
        <v>19</v>
      </c>
      <c r="C51">
        <v>2.238</v>
      </c>
      <c r="D51" t="s">
        <v>58</v>
      </c>
      <c r="F51" t="s">
        <v>71</v>
      </c>
      <c r="H51" t="s">
        <v>61</v>
      </c>
    </row>
    <row r="52" spans="1:8">
      <c r="B52" t="s">
        <v>62</v>
      </c>
      <c r="C52">
        <v>29</v>
      </c>
      <c r="D52" t="s">
        <v>27</v>
      </c>
    </row>
    <row r="53" spans="1:8">
      <c r="A53" t="s">
        <v>63</v>
      </c>
      <c r="C53">
        <f>1/2*(C50+C51)*C52</f>
        <v>53.766000000000005</v>
      </c>
      <c r="D53" t="s">
        <v>23</v>
      </c>
    </row>
    <row r="55" spans="1:8">
      <c r="B55" t="s">
        <v>57</v>
      </c>
      <c r="C55">
        <f>C51</f>
        <v>2.238</v>
      </c>
      <c r="D55" t="s">
        <v>58</v>
      </c>
      <c r="F55" t="s">
        <v>71</v>
      </c>
      <c r="H55" t="s">
        <v>61</v>
      </c>
    </row>
    <row r="56" spans="1:8">
      <c r="B56" t="s">
        <v>19</v>
      </c>
      <c r="C56">
        <v>1.728</v>
      </c>
      <c r="D56" t="s">
        <v>58</v>
      </c>
      <c r="F56" t="s">
        <v>72</v>
      </c>
      <c r="H56" t="s">
        <v>61</v>
      </c>
    </row>
    <row r="57" spans="1:8">
      <c r="B57" t="s">
        <v>62</v>
      </c>
      <c r="C57">
        <v>7</v>
      </c>
      <c r="D57" t="s">
        <v>27</v>
      </c>
    </row>
    <row r="58" spans="1:8">
      <c r="A58" t="s">
        <v>63</v>
      </c>
      <c r="C58">
        <f>1/2*(C55+C56)*C57</f>
        <v>13.881</v>
      </c>
      <c r="D58" t="s">
        <v>23</v>
      </c>
    </row>
    <row r="60" spans="1:8">
      <c r="B60" t="s">
        <v>57</v>
      </c>
      <c r="C60">
        <f>C56</f>
        <v>1.728</v>
      </c>
      <c r="D60" t="s">
        <v>58</v>
      </c>
      <c r="F60" t="s">
        <v>72</v>
      </c>
      <c r="H60" t="s">
        <v>61</v>
      </c>
    </row>
    <row r="61" spans="1:8">
      <c r="B61" t="s">
        <v>19</v>
      </c>
      <c r="C61">
        <v>2.0339999999999998</v>
      </c>
      <c r="D61" t="s">
        <v>58</v>
      </c>
      <c r="F61" t="s">
        <v>73</v>
      </c>
      <c r="H61" t="s">
        <v>61</v>
      </c>
    </row>
    <row r="62" spans="1:8">
      <c r="B62" t="s">
        <v>62</v>
      </c>
      <c r="C62">
        <v>40</v>
      </c>
      <c r="D62" t="s">
        <v>27</v>
      </c>
    </row>
    <row r="63" spans="1:8">
      <c r="A63" t="s">
        <v>63</v>
      </c>
      <c r="C63">
        <f>1/2*(C60+C61)*C62</f>
        <v>75.239999999999995</v>
      </c>
      <c r="D63" t="s">
        <v>23</v>
      </c>
    </row>
    <row r="65" spans="1:8">
      <c r="B65" t="s">
        <v>57</v>
      </c>
      <c r="C65">
        <f>C61</f>
        <v>2.0339999999999998</v>
      </c>
      <c r="D65" t="s">
        <v>58</v>
      </c>
      <c r="F65" t="s">
        <v>73</v>
      </c>
      <c r="H65" t="s">
        <v>61</v>
      </c>
    </row>
    <row r="66" spans="1:8">
      <c r="B66" t="s">
        <v>19</v>
      </c>
      <c r="C66">
        <v>2.1840000000000002</v>
      </c>
      <c r="D66" t="s">
        <v>58</v>
      </c>
      <c r="F66" t="s">
        <v>74</v>
      </c>
      <c r="H66" t="s">
        <v>61</v>
      </c>
    </row>
    <row r="67" spans="1:8">
      <c r="B67" t="s">
        <v>62</v>
      </c>
      <c r="C67">
        <v>61</v>
      </c>
      <c r="D67" t="s">
        <v>27</v>
      </c>
    </row>
    <row r="68" spans="1:8">
      <c r="A68" t="s">
        <v>63</v>
      </c>
      <c r="C68">
        <f>1/2*(C65+C66)*C67</f>
        <v>128.649</v>
      </c>
      <c r="D68" t="s">
        <v>23</v>
      </c>
    </row>
    <row r="70" spans="1:8">
      <c r="B70" t="s">
        <v>57</v>
      </c>
      <c r="C70">
        <f>C66</f>
        <v>2.1840000000000002</v>
      </c>
      <c r="D70" t="s">
        <v>58</v>
      </c>
      <c r="F70" t="s">
        <v>74</v>
      </c>
      <c r="H70" t="s">
        <v>61</v>
      </c>
    </row>
    <row r="71" spans="1:8">
      <c r="B71" t="s">
        <v>19</v>
      </c>
      <c r="C71">
        <v>1.5</v>
      </c>
      <c r="D71" t="s">
        <v>58</v>
      </c>
      <c r="F71" t="s">
        <v>75</v>
      </c>
      <c r="H71" t="s">
        <v>61</v>
      </c>
    </row>
    <row r="72" spans="1:8">
      <c r="B72" t="s">
        <v>62</v>
      </c>
      <c r="C72">
        <v>67</v>
      </c>
      <c r="D72" t="s">
        <v>27</v>
      </c>
    </row>
    <row r="73" spans="1:8">
      <c r="A73" t="s">
        <v>63</v>
      </c>
      <c r="C73">
        <f>1/2*(C70+C71)*C72</f>
        <v>123.414</v>
      </c>
      <c r="D73" t="s">
        <v>23</v>
      </c>
    </row>
    <row r="75" spans="1:8">
      <c r="B75" t="s">
        <v>57</v>
      </c>
      <c r="C75">
        <f>C71</f>
        <v>1.5</v>
      </c>
      <c r="D75" t="s">
        <v>58</v>
      </c>
      <c r="F75" t="s">
        <v>75</v>
      </c>
      <c r="H75" t="s">
        <v>61</v>
      </c>
    </row>
    <row r="76" spans="1:8">
      <c r="B76" t="s">
        <v>19</v>
      </c>
      <c r="C76">
        <v>1.1100000000000001</v>
      </c>
      <c r="D76" t="s">
        <v>58</v>
      </c>
      <c r="F76" t="s">
        <v>76</v>
      </c>
      <c r="H76" t="s">
        <v>61</v>
      </c>
    </row>
    <row r="77" spans="1:8">
      <c r="B77" t="s">
        <v>62</v>
      </c>
      <c r="C77">
        <v>59</v>
      </c>
      <c r="D77" t="s">
        <v>27</v>
      </c>
    </row>
    <row r="78" spans="1:8">
      <c r="A78" t="s">
        <v>63</v>
      </c>
      <c r="C78">
        <f>1/2*(C75+C76)*C77</f>
        <v>76.995000000000005</v>
      </c>
      <c r="D78" t="s">
        <v>23</v>
      </c>
    </row>
    <row r="80" spans="1:8">
      <c r="B80" t="s">
        <v>57</v>
      </c>
      <c r="C80">
        <f>C76</f>
        <v>1.1100000000000001</v>
      </c>
      <c r="D80" t="s">
        <v>58</v>
      </c>
      <c r="F80" t="s">
        <v>76</v>
      </c>
      <c r="H80" t="s">
        <v>61</v>
      </c>
    </row>
    <row r="81" spans="1:8">
      <c r="B81" t="s">
        <v>19</v>
      </c>
      <c r="C81">
        <v>1.29</v>
      </c>
      <c r="D81" t="s">
        <v>58</v>
      </c>
      <c r="F81" t="s">
        <v>77</v>
      </c>
      <c r="H81" t="s">
        <v>61</v>
      </c>
    </row>
    <row r="82" spans="1:8">
      <c r="B82" t="s">
        <v>62</v>
      </c>
      <c r="C82">
        <v>20</v>
      </c>
      <c r="D82" t="s">
        <v>27</v>
      </c>
    </row>
    <row r="83" spans="1:8">
      <c r="A83" t="s">
        <v>63</v>
      </c>
      <c r="C83">
        <f>1/2*(C80+C81)*C82</f>
        <v>24.000000000000004</v>
      </c>
      <c r="D83" t="s">
        <v>23</v>
      </c>
    </row>
    <row r="85" spans="1:8">
      <c r="B85" t="s">
        <v>57</v>
      </c>
      <c r="C85">
        <f>C81</f>
        <v>1.29</v>
      </c>
      <c r="D85" t="s">
        <v>58</v>
      </c>
      <c r="F85" t="s">
        <v>77</v>
      </c>
      <c r="H85" t="s">
        <v>61</v>
      </c>
    </row>
    <row r="86" spans="1:8">
      <c r="B86" t="s">
        <v>19</v>
      </c>
      <c r="C86">
        <v>0.72099999999999997</v>
      </c>
      <c r="D86" t="s">
        <v>58</v>
      </c>
      <c r="F86" t="s">
        <v>78</v>
      </c>
      <c r="H86" t="s">
        <v>61</v>
      </c>
    </row>
    <row r="87" spans="1:8">
      <c r="B87" t="s">
        <v>62</v>
      </c>
      <c r="C87">
        <v>17</v>
      </c>
      <c r="D87" t="s">
        <v>27</v>
      </c>
    </row>
    <row r="88" spans="1:8">
      <c r="A88" t="s">
        <v>63</v>
      </c>
      <c r="C88">
        <f>1/2*(C85+C86)*C87</f>
        <v>17.093500000000002</v>
      </c>
      <c r="D88" t="s">
        <v>23</v>
      </c>
    </row>
    <row r="90" spans="1:8">
      <c r="B90" t="s">
        <v>57</v>
      </c>
      <c r="C90">
        <f>C86</f>
        <v>0.72099999999999997</v>
      </c>
      <c r="D90" t="s">
        <v>58</v>
      </c>
      <c r="F90" t="s">
        <v>78</v>
      </c>
      <c r="H90" t="s">
        <v>61</v>
      </c>
    </row>
    <row r="91" spans="1:8">
      <c r="B91" t="s">
        <v>19</v>
      </c>
      <c r="C91">
        <v>0.436</v>
      </c>
      <c r="D91" t="s">
        <v>58</v>
      </c>
      <c r="F91" t="s">
        <v>79</v>
      </c>
      <c r="H91" t="s">
        <v>61</v>
      </c>
    </row>
    <row r="92" spans="1:8">
      <c r="B92" t="s">
        <v>62</v>
      </c>
      <c r="C92">
        <v>25</v>
      </c>
      <c r="D92" t="s">
        <v>27</v>
      </c>
    </row>
    <row r="93" spans="1:8">
      <c r="A93" t="s">
        <v>63</v>
      </c>
      <c r="C93">
        <f>1/2*(C90+C91)*C92</f>
        <v>14.4625</v>
      </c>
      <c r="D93" t="s">
        <v>23</v>
      </c>
    </row>
    <row r="95" spans="1:8">
      <c r="A95" t="s">
        <v>80</v>
      </c>
    </row>
    <row r="97" spans="1:8">
      <c r="B97" t="s">
        <v>57</v>
      </c>
      <c r="C97">
        <v>0</v>
      </c>
      <c r="D97" t="s">
        <v>58</v>
      </c>
      <c r="F97" t="s">
        <v>81</v>
      </c>
    </row>
    <row r="98" spans="1:8">
      <c r="B98" t="s">
        <v>19</v>
      </c>
      <c r="C98">
        <v>2.5659999999999998</v>
      </c>
      <c r="D98" t="s">
        <v>58</v>
      </c>
      <c r="F98" t="s">
        <v>82</v>
      </c>
      <c r="H98" t="s">
        <v>61</v>
      </c>
    </row>
    <row r="99" spans="1:8">
      <c r="B99" t="s">
        <v>62</v>
      </c>
      <c r="C99">
        <v>26</v>
      </c>
      <c r="D99" t="s">
        <v>27</v>
      </c>
    </row>
    <row r="100" spans="1:8">
      <c r="A100" t="s">
        <v>63</v>
      </c>
      <c r="C100">
        <f>1/2*(C97+C98)*C99</f>
        <v>33.357999999999997</v>
      </c>
      <c r="D100" t="s">
        <v>23</v>
      </c>
    </row>
    <row r="102" spans="1:8">
      <c r="B102" t="s">
        <v>57</v>
      </c>
      <c r="C102">
        <v>2.5659999999999998</v>
      </c>
      <c r="D102" t="s">
        <v>58</v>
      </c>
      <c r="F102" t="s">
        <v>82</v>
      </c>
      <c r="H102" t="s">
        <v>61</v>
      </c>
    </row>
    <row r="103" spans="1:8">
      <c r="B103" t="s">
        <v>19</v>
      </c>
      <c r="C103">
        <v>0</v>
      </c>
      <c r="D103" t="s">
        <v>58</v>
      </c>
      <c r="F103" t="s">
        <v>83</v>
      </c>
    </row>
    <row r="104" spans="1:8">
      <c r="B104" t="s">
        <v>62</v>
      </c>
      <c r="C104">
        <v>23</v>
      </c>
      <c r="D104" t="s">
        <v>27</v>
      </c>
    </row>
    <row r="105" spans="1:8">
      <c r="A105" t="s">
        <v>63</v>
      </c>
      <c r="C105">
        <f>1/2*(C102+C103)*C104</f>
        <v>29.508999999999997</v>
      </c>
      <c r="D105" t="s">
        <v>23</v>
      </c>
    </row>
    <row r="107" spans="1:8">
      <c r="B107" t="s">
        <v>57</v>
      </c>
      <c r="C107">
        <v>0</v>
      </c>
      <c r="D107" t="s">
        <v>58</v>
      </c>
      <c r="F107" t="s">
        <v>84</v>
      </c>
    </row>
    <row r="108" spans="1:8">
      <c r="B108" t="s">
        <v>19</v>
      </c>
      <c r="C108">
        <v>3.1640000000000001</v>
      </c>
      <c r="D108" t="s">
        <v>58</v>
      </c>
      <c r="F108" t="s">
        <v>85</v>
      </c>
      <c r="H108" t="s">
        <v>61</v>
      </c>
    </row>
    <row r="109" spans="1:8">
      <c r="B109" t="s">
        <v>62</v>
      </c>
      <c r="C109">
        <v>16</v>
      </c>
      <c r="D109" t="s">
        <v>27</v>
      </c>
    </row>
    <row r="110" spans="1:8">
      <c r="A110" t="s">
        <v>63</v>
      </c>
      <c r="C110">
        <f>1/2*(C107+C108)*C109</f>
        <v>25.312000000000001</v>
      </c>
      <c r="D110" t="s">
        <v>23</v>
      </c>
    </row>
    <row r="112" spans="1:8">
      <c r="B112" t="s">
        <v>57</v>
      </c>
      <c r="C112">
        <f>C108</f>
        <v>3.1640000000000001</v>
      </c>
      <c r="D112" t="s">
        <v>58</v>
      </c>
      <c r="F112" t="s">
        <v>85</v>
      </c>
      <c r="H112" t="s">
        <v>61</v>
      </c>
    </row>
    <row r="113" spans="1:9">
      <c r="B113" t="s">
        <v>19</v>
      </c>
      <c r="C113">
        <v>0</v>
      </c>
      <c r="D113" t="s">
        <v>58</v>
      </c>
      <c r="F113" t="s">
        <v>86</v>
      </c>
    </row>
    <row r="114" spans="1:9">
      <c r="B114" t="s">
        <v>62</v>
      </c>
      <c r="C114">
        <v>40.5</v>
      </c>
      <c r="D114" t="s">
        <v>27</v>
      </c>
    </row>
    <row r="115" spans="1:9">
      <c r="A115" t="s">
        <v>63</v>
      </c>
      <c r="C115">
        <f>1/2*(C112+C113)*C114</f>
        <v>64.070999999999998</v>
      </c>
      <c r="D115" t="s">
        <v>23</v>
      </c>
    </row>
    <row r="117" spans="1:9">
      <c r="B117" t="s">
        <v>57</v>
      </c>
      <c r="C117">
        <v>0</v>
      </c>
      <c r="D117" t="s">
        <v>58</v>
      </c>
      <c r="F117" t="s">
        <v>87</v>
      </c>
    </row>
    <row r="118" spans="1:9">
      <c r="B118" t="s">
        <v>19</v>
      </c>
      <c r="C118">
        <v>1.81</v>
      </c>
      <c r="D118" t="s">
        <v>58</v>
      </c>
      <c r="F118" t="s">
        <v>88</v>
      </c>
      <c r="H118" t="s">
        <v>61</v>
      </c>
    </row>
    <row r="119" spans="1:9">
      <c r="B119" t="s">
        <v>62</v>
      </c>
      <c r="C119">
        <v>11</v>
      </c>
      <c r="D119" t="s">
        <v>27</v>
      </c>
    </row>
    <row r="120" spans="1:9">
      <c r="A120" t="s">
        <v>63</v>
      </c>
      <c r="C120">
        <f>1/2*(C117+C118)*C119</f>
        <v>9.9550000000000001</v>
      </c>
      <c r="D120" t="s">
        <v>23</v>
      </c>
    </row>
    <row r="122" spans="1:9">
      <c r="B122" t="s">
        <v>57</v>
      </c>
      <c r="C122">
        <f>C118</f>
        <v>1.81</v>
      </c>
      <c r="D122" t="s">
        <v>58</v>
      </c>
      <c r="F122" t="s">
        <v>88</v>
      </c>
      <c r="H122" t="s">
        <v>61</v>
      </c>
    </row>
    <row r="123" spans="1:9">
      <c r="B123" t="s">
        <v>19</v>
      </c>
      <c r="C123">
        <v>0</v>
      </c>
      <c r="D123" t="s">
        <v>58</v>
      </c>
      <c r="F123" t="s">
        <v>89</v>
      </c>
    </row>
    <row r="124" spans="1:9">
      <c r="B124" t="s">
        <v>62</v>
      </c>
      <c r="C124">
        <v>21.5</v>
      </c>
      <c r="D124" t="s">
        <v>27</v>
      </c>
    </row>
    <row r="125" spans="1:9">
      <c r="A125" t="s">
        <v>63</v>
      </c>
      <c r="C125">
        <f>1/2*(C122+C123)*C124</f>
        <v>19.4575</v>
      </c>
      <c r="D125" t="s">
        <v>23</v>
      </c>
    </row>
    <row r="127" spans="1:9">
      <c r="B127" t="s">
        <v>57</v>
      </c>
      <c r="C127">
        <f>C123</f>
        <v>0</v>
      </c>
      <c r="D127" t="s">
        <v>58</v>
      </c>
      <c r="F127" t="s">
        <v>90</v>
      </c>
      <c r="H127" s="5" t="s">
        <v>91</v>
      </c>
      <c r="I127" s="5"/>
    </row>
    <row r="128" spans="1:9">
      <c r="B128" t="s">
        <v>19</v>
      </c>
      <c r="C128">
        <f>(0.198*5)+(0.198*0.198)</f>
        <v>1.029204</v>
      </c>
      <c r="D128" t="s">
        <v>58</v>
      </c>
      <c r="F128" t="s">
        <v>92</v>
      </c>
      <c r="H128" s="5"/>
      <c r="I128" s="5"/>
    </row>
    <row r="129" spans="1:9">
      <c r="B129" t="s">
        <v>62</v>
      </c>
      <c r="C129">
        <v>17.5</v>
      </c>
      <c r="D129" t="s">
        <v>27</v>
      </c>
      <c r="H129" s="5"/>
      <c r="I129" s="5"/>
    </row>
    <row r="130" spans="1:9">
      <c r="A130" t="s">
        <v>63</v>
      </c>
      <c r="C130">
        <f>1/2*(C127+C128)*C129</f>
        <v>9.0055350000000001</v>
      </c>
      <c r="D130" t="s">
        <v>23</v>
      </c>
      <c r="H130" s="5"/>
      <c r="I130" s="5"/>
    </row>
    <row r="132" spans="1:9">
      <c r="B132" t="s">
        <v>57</v>
      </c>
      <c r="C132">
        <f>C128</f>
        <v>1.029204</v>
      </c>
      <c r="D132" t="s">
        <v>58</v>
      </c>
      <c r="F132" t="s">
        <v>92</v>
      </c>
      <c r="H132" s="5" t="s">
        <v>91</v>
      </c>
      <c r="I132" s="5"/>
    </row>
    <row r="133" spans="1:9">
      <c r="B133" t="s">
        <v>19</v>
      </c>
      <c r="C133">
        <v>0</v>
      </c>
      <c r="D133" t="s">
        <v>58</v>
      </c>
      <c r="F133" t="s">
        <v>93</v>
      </c>
      <c r="H133" s="5"/>
      <c r="I133" s="5"/>
    </row>
    <row r="134" spans="1:9">
      <c r="B134" t="s">
        <v>62</v>
      </c>
      <c r="C134">
        <v>31.5</v>
      </c>
      <c r="D134" t="s">
        <v>27</v>
      </c>
      <c r="H134" s="5"/>
      <c r="I134" s="5"/>
    </row>
    <row r="135" spans="1:9">
      <c r="A135" t="s">
        <v>63</v>
      </c>
      <c r="C135">
        <f>1/2*(C132+C133)*C134</f>
        <v>16.209963000000002</v>
      </c>
      <c r="D135" t="s">
        <v>23</v>
      </c>
      <c r="H135" s="5"/>
      <c r="I135" s="5"/>
    </row>
    <row r="137" spans="1:9">
      <c r="A137" t="s">
        <v>94</v>
      </c>
      <c r="C137">
        <f>C41+C48+C53+C58+C63+C68+C73+C78+C83+C88+C93+C100+C105+C110+C115+C120+C125+C130+C135</f>
        <v>756.24899800000003</v>
      </c>
      <c r="D137" t="s">
        <v>23</v>
      </c>
    </row>
  </sheetData>
  <mergeCells count="3">
    <mergeCell ref="A10:I11"/>
    <mergeCell ref="H127:I130"/>
    <mergeCell ref="H132:I13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4EC0-A153-43D2-B1D7-9A108407D1BE}">
  <dimension ref="A1:I156"/>
  <sheetViews>
    <sheetView tabSelected="1" workbookViewId="0">
      <selection activeCell="I154" sqref="I154"/>
    </sheetView>
  </sheetViews>
  <sheetFormatPr defaultRowHeight="15"/>
  <cols>
    <col min="8" max="8" width="12.28515625" customWidth="1"/>
  </cols>
  <sheetData>
    <row r="1" spans="1:9">
      <c r="A1" t="s">
        <v>0</v>
      </c>
      <c r="G1" s="4" t="s">
        <v>1</v>
      </c>
      <c r="H1" t="s">
        <v>2</v>
      </c>
    </row>
    <row r="2" spans="1:9">
      <c r="A2" t="s">
        <v>3</v>
      </c>
      <c r="G2" s="4" t="s">
        <v>4</v>
      </c>
      <c r="H2" t="s">
        <v>5</v>
      </c>
    </row>
    <row r="3" spans="1:9">
      <c r="G3" s="4" t="s">
        <v>6</v>
      </c>
      <c r="H3" s="3">
        <v>44629</v>
      </c>
    </row>
    <row r="5" spans="1:9">
      <c r="A5" s="1" t="s">
        <v>95</v>
      </c>
    </row>
    <row r="7" spans="1:9">
      <c r="A7" t="s">
        <v>49</v>
      </c>
    </row>
    <row r="9" spans="1:9">
      <c r="A9" s="5" t="s">
        <v>96</v>
      </c>
      <c r="B9" s="5"/>
      <c r="C9" s="5"/>
      <c r="D9" s="5"/>
      <c r="E9" s="5"/>
      <c r="F9" s="5"/>
      <c r="G9" s="5"/>
      <c r="H9" s="5"/>
      <c r="I9" s="5"/>
    </row>
    <row r="10" spans="1:9">
      <c r="A10" s="5"/>
      <c r="B10" s="5"/>
      <c r="C10" s="5"/>
      <c r="D10" s="5"/>
      <c r="E10" s="5"/>
      <c r="F10" s="5"/>
      <c r="G10" s="5"/>
      <c r="H10" s="5"/>
      <c r="I10" s="5"/>
    </row>
    <row r="12" spans="1:9">
      <c r="B12" t="s">
        <v>97</v>
      </c>
      <c r="E12" t="s">
        <v>51</v>
      </c>
    </row>
    <row r="14" spans="1:9">
      <c r="A14" t="s">
        <v>52</v>
      </c>
    </row>
    <row r="17" spans="1:9">
      <c r="B17" t="s">
        <v>98</v>
      </c>
      <c r="E17" t="s">
        <v>53</v>
      </c>
      <c r="G17" t="s">
        <v>54</v>
      </c>
    </row>
    <row r="19" spans="1:9">
      <c r="E19" t="s">
        <v>55</v>
      </c>
    </row>
    <row r="21" spans="1:9">
      <c r="B21" t="s">
        <v>99</v>
      </c>
      <c r="D21" s="5" t="s">
        <v>100</v>
      </c>
      <c r="E21" s="5"/>
      <c r="F21" s="5"/>
      <c r="G21" s="5"/>
      <c r="H21" s="5"/>
      <c r="I21" s="5"/>
    </row>
    <row r="22" spans="1:9">
      <c r="D22" s="5"/>
      <c r="E22" s="5"/>
      <c r="F22" s="5"/>
      <c r="G22" s="5"/>
      <c r="H22" s="5"/>
      <c r="I22" s="5"/>
    </row>
    <row r="23" spans="1:9">
      <c r="D23" s="5"/>
      <c r="E23" s="5"/>
      <c r="F23" s="5"/>
      <c r="G23" s="5"/>
      <c r="H23" s="5"/>
      <c r="I23" s="5"/>
    </row>
    <row r="25" spans="1:9">
      <c r="A25">
        <v>1</v>
      </c>
      <c r="B25" t="s">
        <v>101</v>
      </c>
      <c r="E25" t="s">
        <v>102</v>
      </c>
    </row>
    <row r="27" spans="1:9">
      <c r="C27" t="s">
        <v>57</v>
      </c>
      <c r="D27">
        <f>(5*1.486)+(1.486*1.486)</f>
        <v>9.6381960000000007</v>
      </c>
      <c r="E27" t="s">
        <v>58</v>
      </c>
      <c r="G27" t="s">
        <v>103</v>
      </c>
    </row>
    <row r="28" spans="1:9">
      <c r="C28" t="s">
        <v>19</v>
      </c>
      <c r="D28">
        <f>(5*1.81)+(1.81*1.81)</f>
        <v>12.3261</v>
      </c>
      <c r="E28" t="s">
        <v>58</v>
      </c>
      <c r="G28" t="s">
        <v>104</v>
      </c>
    </row>
    <row r="29" spans="1:9">
      <c r="C29" t="s">
        <v>105</v>
      </c>
      <c r="D29">
        <v>18.145</v>
      </c>
      <c r="E29" t="s">
        <v>58</v>
      </c>
      <c r="G29" t="s">
        <v>106</v>
      </c>
    </row>
    <row r="31" spans="1:9">
      <c r="B31" t="s">
        <v>107</v>
      </c>
      <c r="C31" t="s">
        <v>108</v>
      </c>
      <c r="D31">
        <f>1/6*(D27+(4*D29)+D28)*30</f>
        <v>472.72147999999999</v>
      </c>
      <c r="E31" t="s">
        <v>23</v>
      </c>
    </row>
    <row r="33" spans="1:9">
      <c r="B33" t="s">
        <v>109</v>
      </c>
      <c r="C33" t="s">
        <v>110</v>
      </c>
      <c r="D33">
        <f>1/2*D27*17.012</f>
        <v>81.982495176000015</v>
      </c>
      <c r="E33" t="s">
        <v>23</v>
      </c>
    </row>
    <row r="34" spans="1:9">
      <c r="C34" t="s">
        <v>111</v>
      </c>
      <c r="D34">
        <f>1/2*D28*9.81</f>
        <v>60.459520500000004</v>
      </c>
      <c r="E34" t="s">
        <v>23</v>
      </c>
    </row>
    <row r="36" spans="1:9">
      <c r="B36" t="s">
        <v>112</v>
      </c>
      <c r="D36">
        <f>D31+D33+D34</f>
        <v>615.16349567600003</v>
      </c>
      <c r="E36" t="s">
        <v>23</v>
      </c>
    </row>
    <row r="39" spans="1:9">
      <c r="A39">
        <v>2</v>
      </c>
      <c r="B39" s="5" t="s">
        <v>113</v>
      </c>
      <c r="C39" s="5"/>
      <c r="D39" s="5"/>
      <c r="E39" s="5"/>
      <c r="F39" s="5"/>
      <c r="G39" s="5"/>
      <c r="H39" s="5"/>
      <c r="I39" s="5"/>
    </row>
    <row r="40" spans="1:9">
      <c r="B40" s="5"/>
      <c r="C40" s="5"/>
      <c r="D40" s="5"/>
      <c r="E40" s="5"/>
      <c r="F40" s="5"/>
      <c r="G40" s="5"/>
      <c r="H40" s="5"/>
      <c r="I40" s="5"/>
    </row>
    <row r="42" spans="1:9">
      <c r="C42" t="s">
        <v>57</v>
      </c>
      <c r="D42">
        <v>10.954000000000001</v>
      </c>
      <c r="E42" t="s">
        <v>58</v>
      </c>
      <c r="G42" t="s">
        <v>114</v>
      </c>
    </row>
    <row r="43" spans="1:9">
      <c r="C43" t="s">
        <v>19</v>
      </c>
      <c r="D43">
        <f>(5*0.955)+(0.955*0.955)</f>
        <v>5.6870249999999993</v>
      </c>
      <c r="E43" t="s">
        <v>58</v>
      </c>
      <c r="G43" t="s">
        <v>115</v>
      </c>
    </row>
    <row r="44" spans="1:9">
      <c r="C44" t="s">
        <v>105</v>
      </c>
      <c r="D44">
        <f>(5*1.029)+(1.029*1.029)</f>
        <v>6.2038409999999997</v>
      </c>
      <c r="E44" t="s">
        <v>58</v>
      </c>
      <c r="G44" t="s">
        <v>116</v>
      </c>
    </row>
    <row r="46" spans="1:9">
      <c r="B46" t="s">
        <v>107</v>
      </c>
      <c r="C46" t="s">
        <v>108</v>
      </c>
      <c r="D46">
        <f>1/6*(D42+(4*D44)+D43)*34</f>
        <v>234.91953766666663</v>
      </c>
      <c r="E46" t="s">
        <v>23</v>
      </c>
    </row>
    <row r="48" spans="1:9">
      <c r="B48" t="s">
        <v>117</v>
      </c>
      <c r="C48" t="s">
        <v>110</v>
      </c>
      <c r="D48">
        <f>1/2*D42*10.756</f>
        <v>58.910612000000008</v>
      </c>
      <c r="E48" t="s">
        <v>23</v>
      </c>
    </row>
    <row r="51" spans="1:9">
      <c r="B51" t="s">
        <v>112</v>
      </c>
      <c r="D51">
        <f>D46+D48+D49</f>
        <v>293.83014966666661</v>
      </c>
      <c r="E51" t="s">
        <v>23</v>
      </c>
    </row>
    <row r="54" spans="1:9">
      <c r="A54">
        <v>3</v>
      </c>
      <c r="B54" s="5" t="s">
        <v>118</v>
      </c>
      <c r="C54" s="5"/>
      <c r="D54" s="5"/>
      <c r="E54" s="5"/>
      <c r="F54" s="5"/>
      <c r="G54" s="5"/>
      <c r="H54" s="5"/>
      <c r="I54" s="5"/>
    </row>
    <row r="55" spans="1:9">
      <c r="B55" s="5"/>
      <c r="C55" s="5"/>
      <c r="D55" s="5"/>
      <c r="E55" s="5"/>
      <c r="F55" s="5"/>
      <c r="G55" s="5"/>
      <c r="H55" s="5"/>
      <c r="I55" s="5"/>
    </row>
    <row r="57" spans="1:9">
      <c r="C57" t="s">
        <v>57</v>
      </c>
      <c r="D57">
        <f>D43</f>
        <v>5.6870249999999993</v>
      </c>
      <c r="E57" t="s">
        <v>58</v>
      </c>
      <c r="G57" t="s">
        <v>115</v>
      </c>
    </row>
    <row r="58" spans="1:9">
      <c r="C58" t="s">
        <v>19</v>
      </c>
      <c r="D58">
        <v>6</v>
      </c>
      <c r="E58" t="s">
        <v>58</v>
      </c>
      <c r="G58" t="s">
        <v>119</v>
      </c>
    </row>
    <row r="59" spans="1:9">
      <c r="C59" t="s">
        <v>120</v>
      </c>
      <c r="D59">
        <f>(5*0.635)+(0.635*0.635)</f>
        <v>3.5782249999999998</v>
      </c>
      <c r="E59" t="s">
        <v>58</v>
      </c>
      <c r="G59" t="s">
        <v>121</v>
      </c>
    </row>
    <row r="61" spans="1:9">
      <c r="B61" t="s">
        <v>109</v>
      </c>
      <c r="C61" t="s">
        <v>110</v>
      </c>
      <c r="D61">
        <f>1/2*(D57+D58)*19</f>
        <v>111.02673749999998</v>
      </c>
      <c r="E61" t="s">
        <v>23</v>
      </c>
    </row>
    <row r="62" spans="1:9">
      <c r="C62" t="s">
        <v>111</v>
      </c>
      <c r="D62">
        <f>1/2*(D58+D59)*16</f>
        <v>76.625799999999998</v>
      </c>
      <c r="E62" t="s">
        <v>23</v>
      </c>
    </row>
    <row r="64" spans="1:9">
      <c r="B64" t="s">
        <v>122</v>
      </c>
      <c r="D64">
        <f>D61+D62</f>
        <v>187.65253749999999</v>
      </c>
      <c r="E64" t="s">
        <v>23</v>
      </c>
    </row>
    <row r="66" spans="1:9">
      <c r="A66">
        <v>4</v>
      </c>
      <c r="B66" s="5" t="s">
        <v>123</v>
      </c>
      <c r="C66" s="5"/>
      <c r="D66" s="5"/>
      <c r="E66" s="5"/>
      <c r="F66" s="5"/>
      <c r="G66" s="5"/>
      <c r="H66" s="5"/>
      <c r="I66" s="5"/>
    </row>
    <row r="67" spans="1:9">
      <c r="B67" s="5"/>
      <c r="C67" s="5"/>
      <c r="D67" s="5"/>
      <c r="E67" s="5"/>
      <c r="F67" s="5"/>
      <c r="G67" s="5"/>
      <c r="H67" s="5"/>
      <c r="I67" s="5"/>
    </row>
    <row r="69" spans="1:9">
      <c r="C69" t="s">
        <v>57</v>
      </c>
      <c r="D69">
        <f>D59</f>
        <v>3.5782249999999998</v>
      </c>
      <c r="E69" t="s">
        <v>58</v>
      </c>
      <c r="G69" t="s">
        <v>124</v>
      </c>
    </row>
    <row r="70" spans="1:9">
      <c r="C70" t="s">
        <v>19</v>
      </c>
      <c r="D70">
        <v>0</v>
      </c>
      <c r="E70" t="s">
        <v>58</v>
      </c>
      <c r="G70" t="s">
        <v>125</v>
      </c>
    </row>
    <row r="72" spans="1:9">
      <c r="B72" t="s">
        <v>112</v>
      </c>
      <c r="D72">
        <f>1/2*(D69+D70)*44</f>
        <v>78.720949999999988</v>
      </c>
      <c r="E72" t="s">
        <v>23</v>
      </c>
    </row>
    <row r="74" spans="1:9">
      <c r="A74">
        <v>5</v>
      </c>
      <c r="B74" t="s">
        <v>126</v>
      </c>
    </row>
    <row r="76" spans="1:9">
      <c r="C76" t="s">
        <v>127</v>
      </c>
      <c r="D76">
        <v>0</v>
      </c>
      <c r="E76" t="s">
        <v>58</v>
      </c>
      <c r="G76" t="s">
        <v>128</v>
      </c>
    </row>
    <row r="77" spans="1:9">
      <c r="C77" t="s">
        <v>129</v>
      </c>
      <c r="D77">
        <v>1.244</v>
      </c>
      <c r="E77" t="s">
        <v>58</v>
      </c>
      <c r="G77" t="s">
        <v>130</v>
      </c>
    </row>
    <row r="78" spans="1:9">
      <c r="C78" t="s">
        <v>20</v>
      </c>
      <c r="D78">
        <v>15</v>
      </c>
      <c r="E78" t="s">
        <v>27</v>
      </c>
    </row>
    <row r="80" spans="1:9">
      <c r="C80" t="s">
        <v>29</v>
      </c>
      <c r="D80">
        <f>1/2*(D76+D77)*D78</f>
        <v>9.33</v>
      </c>
      <c r="E80" t="s">
        <v>23</v>
      </c>
    </row>
    <row r="83" spans="3:7">
      <c r="C83" t="s">
        <v>127</v>
      </c>
      <c r="D83">
        <f>D77</f>
        <v>1.244</v>
      </c>
      <c r="E83" t="s">
        <v>58</v>
      </c>
      <c r="G83" t="s">
        <v>130</v>
      </c>
    </row>
    <row r="84" spans="3:7">
      <c r="C84" t="s">
        <v>129</v>
      </c>
      <c r="D84">
        <v>1.4670000000000001</v>
      </c>
      <c r="E84" t="s">
        <v>58</v>
      </c>
      <c r="G84" t="s">
        <v>131</v>
      </c>
    </row>
    <row r="85" spans="3:7">
      <c r="C85" t="s">
        <v>20</v>
      </c>
      <c r="D85">
        <v>20</v>
      </c>
      <c r="E85" t="s">
        <v>27</v>
      </c>
    </row>
    <row r="87" spans="3:7">
      <c r="C87" t="s">
        <v>29</v>
      </c>
      <c r="D87">
        <f>1/2*(D83+D84)*D85</f>
        <v>27.110000000000003</v>
      </c>
      <c r="E87" t="s">
        <v>23</v>
      </c>
    </row>
    <row r="90" spans="3:7">
      <c r="C90" t="s">
        <v>127</v>
      </c>
      <c r="D90">
        <f>D84</f>
        <v>1.4670000000000001</v>
      </c>
      <c r="E90" t="s">
        <v>58</v>
      </c>
      <c r="G90" t="s">
        <v>131</v>
      </c>
    </row>
    <row r="91" spans="3:7">
      <c r="C91" t="s">
        <v>129</v>
      </c>
      <c r="D91">
        <v>2.8370000000000002</v>
      </c>
      <c r="E91" t="s">
        <v>58</v>
      </c>
      <c r="G91" t="s">
        <v>132</v>
      </c>
    </row>
    <row r="92" spans="3:7">
      <c r="C92" t="s">
        <v>20</v>
      </c>
      <c r="D92">
        <v>17</v>
      </c>
      <c r="E92" t="s">
        <v>27</v>
      </c>
    </row>
    <row r="94" spans="3:7">
      <c r="C94" t="s">
        <v>29</v>
      </c>
      <c r="D94">
        <f>1/2*(D90+D91)*D92</f>
        <v>36.584000000000003</v>
      </c>
      <c r="E94" t="s">
        <v>23</v>
      </c>
    </row>
    <row r="97" spans="1:7">
      <c r="C97" t="s">
        <v>127</v>
      </c>
      <c r="D97">
        <f>D91</f>
        <v>2.8370000000000002</v>
      </c>
      <c r="E97" t="s">
        <v>58</v>
      </c>
      <c r="G97" t="s">
        <v>132</v>
      </c>
    </row>
    <row r="98" spans="1:7">
      <c r="C98" t="s">
        <v>129</v>
      </c>
      <c r="D98">
        <f>5.7+2.2</f>
        <v>7.9</v>
      </c>
      <c r="E98" t="s">
        <v>58</v>
      </c>
      <c r="G98" t="s">
        <v>133</v>
      </c>
    </row>
    <row r="99" spans="1:7">
      <c r="C99" t="s">
        <v>20</v>
      </c>
      <c r="D99">
        <v>25</v>
      </c>
      <c r="E99" t="s">
        <v>27</v>
      </c>
    </row>
    <row r="101" spans="1:7">
      <c r="C101" t="s">
        <v>29</v>
      </c>
      <c r="D101">
        <f>1/2*(D97+D98)*D99</f>
        <v>134.21250000000001</v>
      </c>
      <c r="E101" t="s">
        <v>23</v>
      </c>
    </row>
    <row r="104" spans="1:7">
      <c r="C104" t="s">
        <v>127</v>
      </c>
      <c r="D104">
        <f>D98</f>
        <v>7.9</v>
      </c>
      <c r="E104" t="s">
        <v>58</v>
      </c>
      <c r="G104" t="s">
        <v>133</v>
      </c>
    </row>
    <row r="105" spans="1:7">
      <c r="C105" t="s">
        <v>129</v>
      </c>
      <c r="D105">
        <v>2.4700000000000002</v>
      </c>
      <c r="E105" t="s">
        <v>58</v>
      </c>
      <c r="G105" t="s">
        <v>134</v>
      </c>
    </row>
    <row r="106" spans="1:7">
      <c r="C106" t="s">
        <v>20</v>
      </c>
      <c r="D106">
        <v>15</v>
      </c>
      <c r="E106" t="s">
        <v>27</v>
      </c>
    </row>
    <row r="108" spans="1:7">
      <c r="C108" t="s">
        <v>29</v>
      </c>
      <c r="D108">
        <f>1/2*(D104+D105)*D106</f>
        <v>77.775000000000006</v>
      </c>
      <c r="E108" t="s">
        <v>23</v>
      </c>
    </row>
    <row r="110" spans="1:7">
      <c r="B110" t="s">
        <v>112</v>
      </c>
      <c r="D110">
        <f>D80+D87+D94+D101+D108</f>
        <v>285.01150000000001</v>
      </c>
    </row>
    <row r="112" spans="1:7">
      <c r="A112">
        <v>6</v>
      </c>
      <c r="B112" t="s">
        <v>135</v>
      </c>
    </row>
    <row r="114" spans="1:7">
      <c r="C114" t="s">
        <v>127</v>
      </c>
      <c r="D114">
        <f>D105</f>
        <v>2.4700000000000002</v>
      </c>
      <c r="E114" t="s">
        <v>58</v>
      </c>
      <c r="G114" t="s">
        <v>134</v>
      </c>
    </row>
    <row r="115" spans="1:7">
      <c r="C115" t="s">
        <v>129</v>
      </c>
      <c r="D115">
        <v>0</v>
      </c>
      <c r="E115" t="s">
        <v>58</v>
      </c>
      <c r="G115" t="s">
        <v>136</v>
      </c>
    </row>
    <row r="116" spans="1:7">
      <c r="C116" t="s">
        <v>20</v>
      </c>
      <c r="D116">
        <v>17</v>
      </c>
      <c r="E116" t="s">
        <v>27</v>
      </c>
    </row>
    <row r="118" spans="1:7">
      <c r="C118" t="s">
        <v>29</v>
      </c>
      <c r="D118">
        <f>1/2*(D114+D115)*D116</f>
        <v>20.995000000000001</v>
      </c>
      <c r="E118" t="s">
        <v>23</v>
      </c>
    </row>
    <row r="120" spans="1:7">
      <c r="A120">
        <v>7</v>
      </c>
      <c r="B120" t="s">
        <v>137</v>
      </c>
    </row>
    <row r="122" spans="1:7">
      <c r="C122" t="s">
        <v>127</v>
      </c>
      <c r="D122">
        <v>0</v>
      </c>
      <c r="E122" t="s">
        <v>58</v>
      </c>
      <c r="G122" t="s">
        <v>138</v>
      </c>
    </row>
    <row r="123" spans="1:7">
      <c r="C123" t="s">
        <v>129</v>
      </c>
      <c r="D123">
        <f>(5*0.523)+(0.523*0.523)</f>
        <v>2.8885290000000001</v>
      </c>
      <c r="E123" t="s">
        <v>58</v>
      </c>
      <c r="G123" t="s">
        <v>139</v>
      </c>
    </row>
    <row r="124" spans="1:7">
      <c r="C124" t="s">
        <v>20</v>
      </c>
      <c r="D124">
        <v>8.09</v>
      </c>
      <c r="E124" t="s">
        <v>27</v>
      </c>
    </row>
    <row r="126" spans="1:7">
      <c r="C126" t="s">
        <v>29</v>
      </c>
      <c r="D126">
        <f>1/2*(D122+D123)*D124</f>
        <v>11.684099805000001</v>
      </c>
      <c r="E126" t="s">
        <v>23</v>
      </c>
    </row>
    <row r="129" spans="1:7">
      <c r="C129" t="s">
        <v>127</v>
      </c>
      <c r="D129">
        <f>D123</f>
        <v>2.8885290000000001</v>
      </c>
      <c r="E129" t="s">
        <v>58</v>
      </c>
      <c r="G129" t="s">
        <v>139</v>
      </c>
    </row>
    <row r="130" spans="1:7">
      <c r="C130" t="s">
        <v>129</v>
      </c>
      <c r="D130">
        <v>0</v>
      </c>
      <c r="E130" t="s">
        <v>58</v>
      </c>
      <c r="G130" t="s">
        <v>140</v>
      </c>
    </row>
    <row r="131" spans="1:7">
      <c r="C131" t="s">
        <v>20</v>
      </c>
      <c r="D131">
        <v>34.28</v>
      </c>
      <c r="E131" t="s">
        <v>27</v>
      </c>
    </row>
    <row r="133" spans="1:7">
      <c r="C133" t="s">
        <v>29</v>
      </c>
      <c r="D133">
        <f>1/2*(D129+D130)*D131</f>
        <v>49.509387060000002</v>
      </c>
      <c r="E133" t="s">
        <v>23</v>
      </c>
    </row>
    <row r="135" spans="1:7">
      <c r="B135" t="s">
        <v>112</v>
      </c>
      <c r="D135">
        <f>D126+D133</f>
        <v>61.193486865000004</v>
      </c>
      <c r="E135" t="s">
        <v>23</v>
      </c>
    </row>
    <row r="137" spans="1:7">
      <c r="A137">
        <v>8</v>
      </c>
      <c r="B137" t="s">
        <v>141</v>
      </c>
    </row>
    <row r="139" spans="1:7">
      <c r="C139" t="s">
        <v>127</v>
      </c>
      <c r="D139">
        <v>0</v>
      </c>
      <c r="E139" t="s">
        <v>58</v>
      </c>
      <c r="G139" t="s">
        <v>142</v>
      </c>
    </row>
    <row r="140" spans="1:7">
      <c r="C140" t="s">
        <v>129</v>
      </c>
      <c r="D140">
        <v>2.4300000000000002</v>
      </c>
      <c r="E140" t="s">
        <v>58</v>
      </c>
      <c r="G140" t="s">
        <v>143</v>
      </c>
    </row>
    <row r="141" spans="1:7">
      <c r="C141" t="s">
        <v>20</v>
      </c>
      <c r="D141">
        <v>35</v>
      </c>
      <c r="E141" t="s">
        <v>27</v>
      </c>
    </row>
    <row r="143" spans="1:7">
      <c r="C143" t="s">
        <v>29</v>
      </c>
      <c r="D143">
        <f>1/2*(D139+D140)*D141</f>
        <v>42.525000000000006</v>
      </c>
      <c r="E143" t="s">
        <v>23</v>
      </c>
    </row>
    <row r="146" spans="2:7">
      <c r="C146" t="s">
        <v>127</v>
      </c>
      <c r="D146">
        <f>D140</f>
        <v>2.4300000000000002</v>
      </c>
      <c r="E146" t="s">
        <v>58</v>
      </c>
      <c r="G146" t="s">
        <v>143</v>
      </c>
    </row>
    <row r="147" spans="2:7">
      <c r="C147" t="s">
        <v>129</v>
      </c>
      <c r="D147">
        <v>0</v>
      </c>
      <c r="E147" t="s">
        <v>58</v>
      </c>
      <c r="G147" t="s">
        <v>144</v>
      </c>
    </row>
    <row r="148" spans="2:7">
      <c r="C148" t="s">
        <v>20</v>
      </c>
      <c r="D148">
        <v>29</v>
      </c>
      <c r="E148" t="s">
        <v>27</v>
      </c>
    </row>
    <row r="150" spans="2:7">
      <c r="C150" t="s">
        <v>29</v>
      </c>
      <c r="D150">
        <f>1/2*(D146+D147)*D148</f>
        <v>35.234999999999999</v>
      </c>
      <c r="E150" t="s">
        <v>23</v>
      </c>
    </row>
    <row r="152" spans="2:7">
      <c r="B152" t="s">
        <v>112</v>
      </c>
      <c r="D152">
        <f>D143+D150</f>
        <v>77.760000000000005</v>
      </c>
      <c r="E152" t="s">
        <v>23</v>
      </c>
    </row>
    <row r="154" spans="2:7">
      <c r="B154" t="s">
        <v>145</v>
      </c>
      <c r="F154">
        <f>D36+D51+D64+D72+D110+D118+D135+D152</f>
        <v>1620.3271197076667</v>
      </c>
      <c r="G154" t="s">
        <v>23</v>
      </c>
    </row>
    <row r="156" spans="2:7">
      <c r="B156" t="s">
        <v>146</v>
      </c>
    </row>
  </sheetData>
  <mergeCells count="5">
    <mergeCell ref="A9:I10"/>
    <mergeCell ref="D21:I23"/>
    <mergeCell ref="B39:I40"/>
    <mergeCell ref="B54:I55"/>
    <mergeCell ref="B66:I67"/>
  </mergeCells>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leType1 xmlns="f4edfb27-fdcf-4944-9520-fd54d4f1d725">Supporting Documentation</FileType1>
    <_Flow_SignoffStatus xmlns="0cd06ba8-3d0c-4461-b1b9-cc99cc46e70a" xsi:nil="true"/>
    <CategoryDescription xmlns="http://schemas.microsoft.com/sharepoint.v3" xsi:nil="true"/>
    <Public xmlns="f4edfb27-fdcf-4944-9520-fd54d4f1d725">true</Public>
    <lcf76f155ced4ddcb4097134ff3c332f xmlns="0cd06ba8-3d0c-4461-b1b9-cc99cc46e70a">
      <Terms xmlns="http://schemas.microsoft.com/office/infopath/2007/PartnerControls"/>
    </lcf76f155ced4ddcb4097134ff3c332f>
    <TaxCatchAll xmlns="f4edfb27-fdcf-4944-9520-fd54d4f1d7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3EAA0E-DB73-4FD1-99B3-CEC04CEA341D}"/>
</file>

<file path=customXml/itemProps2.xml><?xml version="1.0" encoding="utf-8"?>
<ds:datastoreItem xmlns:ds="http://schemas.openxmlformats.org/officeDocument/2006/customXml" ds:itemID="{BDF231AD-FF73-4B55-B953-3598DDF85533}"/>
</file>

<file path=customXml/itemProps3.xml><?xml version="1.0" encoding="utf-8"?>
<ds:datastoreItem xmlns:ds="http://schemas.openxmlformats.org/officeDocument/2006/customXml" ds:itemID="{7C63195C-04B7-46CB-9062-FAAD5ACEFE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Fovargue , Nick</dc:creator>
  <cp:keywords/>
  <dc:description/>
  <cp:lastModifiedBy>Warsama , Leon (UNDERGRADUATE PLACEMENT)</cp:lastModifiedBy>
  <cp:revision/>
  <dcterms:created xsi:type="dcterms:W3CDTF">2022-02-07T07:48:12Z</dcterms:created>
  <dcterms:modified xsi:type="dcterms:W3CDTF">2022-04-10T18:06:52Z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ies>
</file>